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4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3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2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Overview" sheetId="1" state="visible" r:id="rId3"/>
    <sheet name="2026" sheetId="2" state="visible" r:id="rId4"/>
    <sheet name="2025" sheetId="3" state="visible" r:id="rId5"/>
    <sheet name="2024" sheetId="4" state="visible" r:id="rId6"/>
    <sheet name="2023" sheetId="5" state="visible" r:id="rId7"/>
    <sheet name="2022" sheetId="6" state="visible" r:id="rId8"/>
    <sheet name="2021" sheetId="7" state="visible" r:id="rId9"/>
    <sheet name="2020" sheetId="8" state="visible" r:id="rId10"/>
    <sheet name="2019" sheetId="9" state="visible" r:id="rId11"/>
    <sheet name="2018" sheetId="10" state="visible" r:id="rId12"/>
    <sheet name="Darvas" sheetId="11" state="hidden" r:id="rId13"/>
    <sheet name="Portfolio" sheetId="12" state="hidden" r:id="rId1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<sst xmlns="http://schemas.openxmlformats.org/spreadsheetml/2006/main" count="1921" uniqueCount="566">
  <si>
    <t xml:space="preserve">Year</t>
  </si>
  <si>
    <t xml:space="preserve">Expenses</t>
  </si>
  <si>
    <t xml:space="preserve">Total Expenses</t>
  </si>
  <si>
    <t xml:space="preserve">Income</t>
  </si>
  <si>
    <t xml:space="preserve">Net Worth</t>
  </si>
  <si>
    <t xml:space="preserve">FI Ratio</t>
  </si>
  <si>
    <t xml:space="preserve">Previous</t>
  </si>
  <si>
    <t xml:space="preserve">2026 Goals</t>
  </si>
  <si>
    <t xml:space="preserve">Target</t>
  </si>
  <si>
    <t xml:space="preserve">Status</t>
  </si>
  <si>
    <t xml:space="preserve">Result</t>
  </si>
  <si>
    <t xml:space="preserve">Progress</t>
  </si>
  <si>
    <t xml:space="preserve">Financial</t>
  </si>
  <si>
    <t xml:space="preserve">Spend 5% less before taxes</t>
  </si>
  <si>
    <t xml:space="preserve">Fake Expenses</t>
  </si>
  <si>
    <t xml:space="preserve">Increase Income by 2%</t>
  </si>
  <si>
    <t xml:space="preserve">Increase Total Savings Rate by 2.5%</t>
  </si>
  <si>
    <t xml:space="preserve">Fake Savings Rate</t>
  </si>
  <si>
    <t xml:space="preserve">Optimize 3 bills</t>
  </si>
  <si>
    <t xml:space="preserve">Personal</t>
  </si>
  <si>
    <t xml:space="preserve">Workout strength 5% better</t>
  </si>
  <si>
    <t xml:space="preserve">Workout cardio 10% better</t>
  </si>
  <si>
    <t xml:space="preserve">Walk 5% more per day</t>
  </si>
  <si>
    <t xml:space="preserve">Install solar panels</t>
  </si>
  <si>
    <t xml:space="preserve">30% will be instlalation</t>
  </si>
  <si>
    <t xml:space="preserve">10% for subvention</t>
  </si>
  <si>
    <t xml:space="preserve">Financial Metrics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</si>
  <si>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</si>
  <si>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</si>
  <si>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</si>
  <si>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</si>
  <si>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</si>
  <si>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</si>
  <si>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</si>
  <si>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</si>
  <si>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</si>
  <si>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</si>
  <si>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</si>
  <si>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</si>
  <si>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Total</t>
  </si>
  <si>
    <t xml:space="preserve">Average</t>
  </si>
  <si>
    <t xml:space="preserve">Median</t>
  </si>
  <si>
    <t xml:space="preserve">N/A</t>
  </si>
  <si>
    <t xml:space="preserve">Net Worth Increase</t>
  </si>
  <si>
    <t xml:space="preserve">Month-To-Month growth rate</t>
  </si>
  <si>
    <t xml:space="preserve">Year-To-Year growth rate</t>
  </si>
  <si>
    <t xml:space="preserve">FI Ratio Increase</t>
  </si>
  <si>
    <t xml:space="preserve">Savings Rate</t>
  </si>
  <si>
    <t xml:space="preserve">Household Metrics</t>
  </si>
  <si>
    <t xml:space="preserve">Power - Counter - Ferpicloz</t>
  </si>
  <si>
    <t xml:space="preserve">Power usage</t>
  </si>
  <si>
    <t xml:space="preserve">Water Counter - Ferpicloz</t>
  </si>
  <si>
    <t xml:space="preserve">Water usage</t>
  </si>
  <si>
    <t xml:space="preserve">TODO</t>
  </si>
  <si>
    <t xml:space="preserve">Health Metrics</t>
  </si>
  <si>
    <t xml:space="preserve">Full-Body Workouts</t>
  </si>
  <si>
    <t xml:space="preserve">Circuits</t>
  </si>
  <si>
    <t xml:space="preserve">Steps on watch</t>
  </si>
  <si>
    <t xml:space="preserve">Steps on treadmill</t>
  </si>
  <si>
    <t xml:space="preserve">Total steps</t>
  </si>
  <si>
    <t xml:space="preserve">Daily steps</t>
  </si>
  <si>
    <t xml:space="preserve">Cardio Workouts</t>
  </si>
  <si>
    <t xml:space="preserve">Optimized in 2026</t>
  </si>
  <si>
    <t xml:space="preserve">Switched to Linux</t>
  </si>
  <si>
    <t xml:space="preserve">Got rid of baptiste-wicht.net</t>
  </si>
  <si>
    <t xml:space="preserve">Solar panels?</t>
  </si>
  <si>
    <t xml:space="preserve">2025 Goals</t>
  </si>
  <si>
    <t xml:space="preserve">Spend 5% less</t>
  </si>
  <si>
    <t xml:space="preserve">Increase Income by 2.5%</t>
  </si>
  <si>
    <t xml:space="preserve">Workout strength 10% better</t>
  </si>
  <si>
    <t xml:space="preserve">Workout cardio 50% better</t>
  </si>
  <si>
    <t xml:space="preserve">Use 5% less water</t>
  </si>
  <si>
    <t xml:space="preserve">Use 5% less power</t>
  </si>
  <si>
    <t xml:space="preserve">Power - Counter - Le Mouret</t>
  </si>
  <si>
    <t xml:space="preserve">Heating</t>
  </si>
  <si>
    <t xml:space="preserve">Heating usage</t>
  </si>
  <si>
    <t xml:space="preserve">Water Counter - Le Mouret</t>
  </si>
  <si>
    <t xml:space="preserve">VO2 Max Workouts</t>
  </si>
  <si>
    <t xml:space="preserve">Total workouts</t>
  </si>
  <si>
    <t xml:space="preserve">Optimized in 2025</t>
  </si>
  <si>
    <t xml:space="preserve">Reduced helath insurance</t>
  </si>
  <si>
    <t xml:space="preserve">60 CHF per month</t>
  </si>
  <si>
    <t xml:space="preserve">No more Neon Duo</t>
  </si>
  <si>
    <t xml:space="preserve">72 CHF per year</t>
  </si>
  <si>
    <t xml:space="preserve">Goals</t>
  </si>
  <si>
    <t xml:space="preserve">Increase Income by 5%</t>
  </si>
  <si>
    <t xml:space="preserve">Increase Savings Rate by 5%</t>
  </si>
  <si>
    <t xml:space="preserve">Work out 20% better</t>
  </si>
  <si>
    <t xml:space="preserve">Reduce energy consumption by 10%</t>
  </si>
  <si>
    <t xml:space="preserve">Power - Counter 1</t>
  </si>
  <si>
    <t xml:space="preserve">Power Total</t>
  </si>
  <si>
    <t xml:space="preserve">Water</t>
  </si>
  <si>
    <t xml:space="preserve">Total cardio workouts</t>
  </si>
  <si>
    <t xml:space="preserve">Optimized in 2024</t>
  </si>
  <si>
    <t xml:space="preserve">Reduced taxes with second pillar contribution</t>
  </si>
  <si>
    <t xml:space="preserve">Got rid of some complementary insurance</t>
  </si>
  <si>
    <t xml:space="preserve">Reduced heating bill</t>
  </si>
  <si>
    <t xml:space="preserve"> </t>
  </si>
  <si>
    <t xml:space="preserve">Q1</t>
  </si>
  <si>
    <t xml:space="preserve">Q2</t>
  </si>
  <si>
    <t xml:space="preserve">Q3</t>
  </si>
  <si>
    <t xml:space="preserve">C. Progress</t>
  </si>
  <si>
    <t xml:space="preserve">Gain instead of gap</t>
  </si>
  <si>
    <t xml:space="preserve">Before Taxes Expense &lt; 5000 CHF</t>
  </si>
  <si>
    <t xml:space="preserve">All year</t>
  </si>
  <si>
    <t xml:space="preserve">Spend Less</t>
  </si>
  <si>
    <t xml:space="preserve">Increase Income by 10%</t>
  </si>
  <si>
    <t xml:space="preserve">Increase Income</t>
  </si>
  <si>
    <t xml:space="preserve">Average Savings Rate of 50%</t>
  </si>
  <si>
    <t xml:space="preserve">Increase Savings Rate</t>
  </si>
  <si>
    <t xml:space="preserve">Optimize bills</t>
  </si>
  <si>
    <t xml:space="preserve">Blog</t>
  </si>
  <si>
    <t xml:space="preserve">Create a LLC for the blog</t>
  </si>
  <si>
    <t xml:space="preserve">All good</t>
  </si>
  <si>
    <t xml:space="preserve">Work out at home 100 times</t>
  </si>
  <si>
    <t xml:space="preserve">Work Out more</t>
  </si>
  <si>
    <t xml:space="preserve">Average 6000 steps per day</t>
  </si>
  <si>
    <t xml:space="preserve">Walk more</t>
  </si>
  <si>
    <t xml:space="preserve">Reduce energy consumption</t>
  </si>
  <si>
    <t xml:space="preserve">Personal Metrics</t>
  </si>
  <si>
    <t xml:space="preserve">Novels Read</t>
  </si>
  <si>
    <t xml:space="preserve">Development Books Read</t>
  </si>
  <si>
    <t xml:space="preserve">Books Total</t>
  </si>
  <si>
    <t xml:space="preserve">Power - Counter 2</t>
  </si>
  <si>
    <t xml:space="preserve">Steps</t>
  </si>
  <si>
    <t xml:space="preserve">Optimized</t>
  </si>
  <si>
    <t xml:space="preserve">No more accident</t>
  </si>
  <si>
    <t xml:space="preserve">Divided my personal VPS costs by 4</t>
  </si>
  <si>
    <t xml:space="preserve">Dropped serprobot</t>
  </si>
  <si>
    <t xml:space="preserve">Dropped legal protection</t>
  </si>
  <si>
    <t xml:space="preserve">y</t>
  </si>
  <si>
    <t xml:space="preserve">Dropped house protection</t>
  </si>
  <si>
    <t xml:space="preserve">Heating reduced</t>
  </si>
  <si>
    <t xml:space="preserve">m</t>
  </si>
  <si>
    <t xml:space="preserve">Bills Reduced</t>
  </si>
  <si>
    <t xml:space="preserve">Franchise haute RC / Ménage</t>
  </si>
  <si>
    <t xml:space="preserve">100 / year</t>
  </si>
  <si>
    <t xml:space="preserve">Before Taxes Expense &lt; 4500 CHF</t>
  </si>
  <si>
    <t xml:space="preserve">Complémentaire 166 / mois</t>
  </si>
  <si>
    <t xml:space="preserve">Increase Income by 7%</t>
  </si>
  <si>
    <t xml:space="preserve">Chauffage 25 / mois</t>
  </si>
  <si>
    <t xml:space="preserve">FI Ratio 20%</t>
  </si>
  <si>
    <t xml:space="preserve">Pension Plus 600 / an</t>
  </si>
  <si>
    <t xml:space="preserve">Average Savings Rate of 55%</t>
  </si>
  <si>
    <t xml:space="preserve">Complete translation in French</t>
  </si>
  <si>
    <t xml:space="preserve">What's wrong with my knees?</t>
  </si>
  <si>
    <t xml:space="preserve">Walk 150 times</t>
  </si>
  <si>
    <t xml:space="preserve">Redesign my office</t>
  </si>
  <si>
    <t xml:space="preserve">Walks</t>
  </si>
  <si>
    <t xml:space="preserve">Cancel one domain</t>
  </si>
  <si>
    <t xml:space="preserve">14.39 / year</t>
  </si>
  <si>
    <t xml:space="preserve">Remove casco partielle</t>
  </si>
  <si>
    <t xml:space="preserve">250 / year</t>
  </si>
  <si>
    <t xml:space="preserve">Net Worth 380K CHF</t>
  </si>
  <si>
    <t xml:space="preserve">MoneyLab Pro</t>
  </si>
  <si>
    <t xml:space="preserve">49$ / month</t>
  </si>
  <si>
    <t xml:space="preserve">Technical Books</t>
  </si>
  <si>
    <t xml:space="preserve">C++ High Performance</t>
  </si>
  <si>
    <t xml:space="preserve">Professional</t>
  </si>
  <si>
    <t xml:space="preserve">But How Do It Know</t>
  </si>
  <si>
    <t xml:space="preserve">Read 4 Technical Books</t>
  </si>
  <si>
    <t xml:space="preserve">Ready for Anything</t>
  </si>
  <si>
    <t xml:space="preserve">C++ Concurrency in Action</t>
  </si>
  <si>
    <t xml:space="preserve">Average 5000 pageviews per day</t>
  </si>
  <si>
    <t xml:space="preserve">DPDK</t>
  </si>
  <si>
    <t xml:space="preserve">Update 60 Articles</t>
  </si>
  <si>
    <t xml:space="preserve">Translate 60 Articles</t>
  </si>
  <si>
    <t xml:space="preserve">Clean C++20</t>
  </si>
  <si>
    <t xml:space="preserve">Professional C++</t>
  </si>
  <si>
    <t xml:space="preserve">Complete disaster file</t>
  </si>
  <si>
    <t xml:space="preserve">Learning Chinese 250 times</t>
  </si>
  <si>
    <t xml:space="preserve">Walk before work 125 times</t>
  </si>
  <si>
    <t xml:space="preserve">~70</t>
  </si>
  <si>
    <t xml:space="preserve">FluentU</t>
  </si>
  <si>
    <t xml:space="preserve">Missed</t>
  </si>
  <si>
    <t xml:space="preserve">Gym</t>
  </si>
  <si>
    <t xml:space="preserve">Walk</t>
  </si>
  <si>
    <t xml:space="preserve">Translated</t>
  </si>
  <si>
    <t xml:space="preserve">Updated</t>
  </si>
  <si>
    <t xml:space="preserve">Deleted</t>
  </si>
  <si>
    <t xml:space="preserve">Consolidated</t>
  </si>
  <si>
    <t xml:space="preserve">Before Taxes Expense &lt; 4000 CHF</t>
  </si>
  <si>
    <t xml:space="preserve">Max out 3rd Pillar (6826 CHF)</t>
  </si>
  <si>
    <t xml:space="preserve">Net Worth 300K CHF</t>
  </si>
  <si>
    <t xml:space="preserve">Reduce 3 bills</t>
  </si>
  <si>
    <t xml:space="preserve">Work</t>
  </si>
  <si>
    <t xml:space="preserve">Migros -&gt; Coop Mobile</t>
  </si>
  <si>
    <t xml:space="preserve">10/month</t>
  </si>
  <si>
    <t xml:space="preserve">Blog 100 times</t>
  </si>
  <si>
    <t xml:space="preserve">Stop Headphones VIP</t>
  </si>
  <si>
    <t xml:space="preserve">10/year</t>
  </si>
  <si>
    <t xml:space="preserve">Average 2500 pageviews per day</t>
  </si>
  <si>
    <t xml:space="preserve">Siteground -&gt; 3 Years</t>
  </si>
  <si>
    <t xml:space="preserve">5/month</t>
  </si>
  <si>
    <t xml:space="preserve">Republish 12 Articles</t>
  </si>
  <si>
    <t xml:space="preserve">Reduce rent</t>
  </si>
  <si>
    <t xml:space="preserve">11/month</t>
  </si>
  <si>
    <t xml:space="preserve">Update 36 Articles</t>
  </si>
  <si>
    <t xml:space="preserve">Reduce complimentaries</t>
  </si>
  <si>
    <t xml:space="preserve">30/month</t>
  </si>
  <si>
    <t xml:space="preserve">Generate Income 2000 CHF</t>
  </si>
  <si>
    <t xml:space="preserve">Reduce base insurance</t>
  </si>
  <si>
    <t xml:space="preserve">50/month</t>
  </si>
  <si>
    <t xml:space="preserve">Go to the gym 100 times</t>
  </si>
  <si>
    <t xml:space="preserve">Go back to 77kg</t>
  </si>
  <si>
    <t xml:space="preserve">Blog Income</t>
  </si>
  <si>
    <t xml:space="preserve">Mini-Updated</t>
  </si>
  <si>
    <t xml:space="preserve">Networking Book</t>
  </si>
  <si>
    <t xml:space="preserve">C++ Book</t>
  </si>
  <si>
    <t xml:space="preserve">Making It All Work</t>
  </si>
  <si>
    <t xml:space="preserve">Exceptional C++</t>
  </si>
  <si>
    <t xml:space="preserve">GTD</t>
  </si>
  <si>
    <t xml:space="preserve">Not Counted: Zapier Guide to remote work</t>
  </si>
  <si>
    <t xml:space="preserve">More Exceptional C++</t>
  </si>
  <si>
    <t xml:space="preserve">The New Corner Office</t>
  </si>
  <si>
    <t xml:space="preserve">Invest 50'000 CHF</t>
  </si>
  <si>
    <t xml:space="preserve">Average Monthly Expense &lt; 5000 CHF</t>
  </si>
  <si>
    <t xml:space="preserve">Net Worth 200K CHF</t>
  </si>
  <si>
    <t xml:space="preserve">FI Ratio 12%</t>
  </si>
  <si>
    <t xml:space="preserve">Get a full bonus</t>
  </si>
  <si>
    <t xml:space="preserve">Get a promotion</t>
  </si>
  <si>
    <t xml:space="preserve">Yes</t>
  </si>
  <si>
    <t xml:space="preserve">Average 500 pageviews per day</t>
  </si>
  <si>
    <t xml:space="preserve">Build 3 DIY Projects</t>
  </si>
  <si>
    <t xml:space="preserve">Get rid of one thing each month</t>
  </si>
  <si>
    <t xml:space="preserve">Learning Chinese 300 times</t>
  </si>
  <si>
    <t xml:space="preserve">Simplify my home server infrastructure</t>
  </si>
  <si>
    <t xml:space="preserve">Get rid of my army equipment</t>
  </si>
  <si>
    <t xml:space="preserve">No</t>
  </si>
  <si>
    <t xml:space="preserve">Degiro</t>
  </si>
  <si>
    <t xml:space="preserve">IB</t>
  </si>
  <si>
    <t xml:space="preserve">3rd Pillar</t>
  </si>
  <si>
    <t xml:space="preserve">Crowd-Invest</t>
  </si>
  <si>
    <t xml:space="preserve">Cooking Day</t>
  </si>
  <si>
    <t xml:space="preserve">Travel days</t>
  </si>
  <si>
    <t xml:space="preserve">Les Mosses</t>
  </si>
  <si>
    <t xml:space="preserve">Fiesch</t>
  </si>
  <si>
    <t xml:space="preserve">Dumb day</t>
  </si>
  <si>
    <t xml:space="preserve">County Assembly</t>
  </si>
  <si>
    <t xml:space="preserve">Dinner nono</t>
  </si>
  <si>
    <t xml:space="preserve">Lazy day</t>
  </si>
  <si>
    <t xml:space="preserve">US</t>
  </si>
  <si>
    <t xml:space="preserve">Conference</t>
  </si>
  <si>
    <t xml:space="preserve">VRSN Dinner</t>
  </si>
  <si>
    <t xml:space="preserve">Working Late</t>
  </si>
  <si>
    <t xml:space="preserve">Forgot</t>
  </si>
  <si>
    <t xml:space="preserve">Dinner after work</t>
  </si>
  <si>
    <t xml:space="preserve">Work Dinner</t>
  </si>
  <si>
    <t xml:space="preserve">Vacations</t>
  </si>
  <si>
    <t xml:space="preserve">Don't want to</t>
  </si>
  <si>
    <t xml:space="preserve">No time</t>
  </si>
  <si>
    <t xml:space="preserve">Family weekend</t>
  </si>
  <si>
    <t xml:space="preserve">August 1st</t>
  </si>
  <si>
    <t xml:space="preserve">Got rid</t>
  </si>
  <si>
    <t xml:space="preserve">CD</t>
  </si>
  <si>
    <t xml:space="preserve">Clothes</t>
  </si>
  <si>
    <t xml:space="preserve">Juice Machine</t>
  </si>
  <si>
    <t xml:space="preserve">Books</t>
  </si>
  <si>
    <t xml:space="preserve">Medicine</t>
  </si>
  <si>
    <t xml:space="preserve">Spices</t>
  </si>
  <si>
    <t xml:space="preserve">Books/DVD</t>
  </si>
  <si>
    <t xml:space="preserve">Make up things</t>
  </si>
  <si>
    <t xml:space="preserve">Cameras</t>
  </si>
  <si>
    <t xml:space="preserve">Old Cards</t>
  </si>
  <si>
    <t xml:space="preserve">Desk Furnitures</t>
  </si>
  <si>
    <t xml:space="preserve">Dumbbells</t>
  </si>
  <si>
    <t xml:space="preserve">Years</t>
  </si>
  <si>
    <t xml:space="preserve">8% Compound interest</t>
  </si>
  <si>
    <t xml:space="preserve">8% Standard interest</t>
  </si>
  <si>
    <t xml:space="preserve">Dividends 2019</t>
  </si>
  <si>
    <t xml:space="preserve">CHDVD</t>
  </si>
  <si>
    <t xml:space="preserve">06.03.2019</t>
  </si>
  <si>
    <t xml:space="preserve">11.03.2019</t>
  </si>
  <si>
    <t xml:space="preserve">VOO</t>
  </si>
  <si>
    <t xml:space="preserve">26.03.2019</t>
  </si>
  <si>
    <t xml:space="preserve">VT</t>
  </si>
  <si>
    <t xml:space="preserve">28.03.2019</t>
  </si>
  <si>
    <t xml:space="preserve">08.04.2019</t>
  </si>
  <si>
    <t xml:space="preserve">09.04.2019</t>
  </si>
  <si>
    <t xml:space="preserve">25.04.2019</t>
  </si>
  <si>
    <t xml:space="preserve">08.05.2019</t>
  </si>
  <si>
    <t xml:space="preserve">20.06.2019</t>
  </si>
  <si>
    <t xml:space="preserve">02.07.2019</t>
  </si>
  <si>
    <t xml:space="preserve">18.07.2019</t>
  </si>
  <si>
    <t xml:space="preserve">27.09.2019</t>
  </si>
  <si>
    <t xml:space="preserve">Q4</t>
  </si>
  <si>
    <t xml:space="preserve">01.10.2019</t>
  </si>
  <si>
    <t xml:space="preserve">Y</t>
  </si>
  <si>
    <t xml:space="preserve">31/12/2018</t>
  </si>
  <si>
    <t xml:space="preserve">Invest 10'000 CHF</t>
  </si>
  <si>
    <t xml:space="preserve">Monthly expense &lt; 4500 CHF</t>
  </si>
  <si>
    <t xml:space="preserve">Max out 3rd Pillar (3000 CHF)</t>
  </si>
  <si>
    <t xml:space="preserve">Dividend Income 500 CHF</t>
  </si>
  <si>
    <t xml:space="preserve">Add 5% EUR Bonds to the portfolio</t>
  </si>
  <si>
    <t xml:space="preserve">Sell all old Postfinance Funds (3)</t>
  </si>
  <si>
    <t xml:space="preserve">Blog 24 times</t>
  </si>
  <si>
    <t xml:space="preserve">Get the blog out of wordpress.com</t>
  </si>
  <si>
    <t xml:space="preserve">Add DEGIRO referral link</t>
  </si>
  <si>
    <t xml:space="preserve">Scan all documents (5 binders)</t>
  </si>
  <si>
    <t xml:space="preserve">Get a new job from 01.08</t>
  </si>
  <si>
    <t xml:space="preserve">Investments</t>
  </si>
  <si>
    <t xml:space="preserve">Dividends 2018</t>
  </si>
  <si>
    <t xml:space="preserve">Europe</t>
  </si>
  <si>
    <t xml:space="preserve">28.02.2018</t>
  </si>
  <si>
    <t xml:space="preserve">Swiss Dividend</t>
  </si>
  <si>
    <t xml:space="preserve">08.03.2018</t>
  </si>
  <si>
    <t xml:space="preserve">19.03.2018</t>
  </si>
  <si>
    <t xml:space="preserve">Vanguard IT</t>
  </si>
  <si>
    <t xml:space="preserve">21.03.2018</t>
  </si>
  <si>
    <t xml:space="preserve">Vanguard Pacific</t>
  </si>
  <si>
    <t xml:space="preserve">30.03.2018</t>
  </si>
  <si>
    <t xml:space="preserve">Vanguard High Div. Yield Int.</t>
  </si>
  <si>
    <t xml:space="preserve">Total World</t>
  </si>
  <si>
    <t xml:space="preserve">03.04.2018</t>
  </si>
  <si>
    <t xml:space="preserve">08.04.2018</t>
  </si>
  <si>
    <t xml:space="preserve">11.04.2018</t>
  </si>
  <si>
    <t xml:space="preserve">19.04.2018</t>
  </si>
  <si>
    <t xml:space="preserve">17.05.2018</t>
  </si>
  <si>
    <t xml:space="preserve">28.06.2018</t>
  </si>
  <si>
    <t xml:space="preserve">20.07.2018</t>
  </si>
  <si>
    <t xml:space="preserve">SMIM</t>
  </si>
  <si>
    <t xml:space="preserve">10.09.2018</t>
  </si>
  <si>
    <t xml:space="preserve">Coca COla</t>
  </si>
  <si>
    <t xml:space="preserve">02.10.2018</t>
  </si>
  <si>
    <t xml:space="preserve">S&amp;P 500</t>
  </si>
  <si>
    <t xml:space="preserve">22.12.2018</t>
  </si>
  <si>
    <t xml:space="preserve">28.12.2018</t>
  </si>
  <si>
    <t xml:space="preserve">(Daily)</t>
  </si>
  <si>
    <t xml:space="preserve">Action</t>
  </si>
  <si>
    <t xml:space="preserve">Intelsat</t>
  </si>
  <si>
    <t xml:space="preserve">Shares</t>
  </si>
  <si>
    <t xml:space="preserve">Base price (BP)</t>
  </si>
  <si>
    <t xml:space="preserve">Investment</t>
  </si>
  <si>
    <t xml:space="preserve">Init S-L</t>
  </si>
  <si>
    <t xml:space="preserve">Current S-L</t>
  </si>
  <si>
    <t xml:space="preserve">Morning Price (MP)</t>
  </si>
  <si>
    <t xml:space="preserve">MP to S-L</t>
  </si>
  <si>
    <t xml:space="preserve">Price (CP)</t>
  </si>
  <si>
    <t xml:space="preserve">CP to BP</t>
  </si>
  <si>
    <t xml:space="preserve">CP to MP</t>
  </si>
  <si>
    <t xml:space="preserve">CP to S-L</t>
  </si>
  <si>
    <t xml:space="preserve">S-L to BP</t>
  </si>
  <si>
    <t xml:space="preserve">Daily</t>
  </si>
  <si>
    <t xml:space="preserve">Daily %</t>
  </si>
  <si>
    <t xml:space="preserve">Total %</t>
  </si>
  <si>
    <t xml:space="preserve">S-L</t>
  </si>
  <si>
    <t xml:space="preserve">S-L %</t>
  </si>
  <si>
    <t xml:space="preserve">Total Win/Loss</t>
  </si>
  <si>
    <t xml:space="preserve">Buy</t>
  </si>
  <si>
    <t xml:space="preserve">26/09/2018</t>
  </si>
  <si>
    <t xml:space="preserve">Daily Win/Loss</t>
  </si>
  <si>
    <t xml:space="preserve">S-L Win/Loss</t>
  </si>
  <si>
    <t xml:space="preserve">Realized</t>
  </si>
  <si>
    <t xml:space="preserve">Square</t>
  </si>
  <si>
    <t xml:space="preserve">Sell</t>
  </si>
  <si>
    <t xml:space="preserve">Total Base</t>
  </si>
  <si>
    <t xml:space="preserve">Verisign</t>
  </si>
  <si>
    <t xml:space="preserve">Ecopetrol</t>
  </si>
  <si>
    <t xml:space="preserve">Microsoft</t>
  </si>
  <si>
    <t xml:space="preserve">Nvidia</t>
  </si>
  <si>
    <t xml:space="preserve">Name</t>
  </si>
  <si>
    <t xml:space="preserve">Symbol</t>
  </si>
  <si>
    <t xml:space="preserve">Price</t>
  </si>
  <si>
    <t xml:space="preserve">Value</t>
  </si>
  <si>
    <t xml:space="preserve">Value CHF</t>
  </si>
  <si>
    <t xml:space="preserve">World</t>
  </si>
  <si>
    <t xml:space="preserve">SMMCHA</t>
  </si>
  <si>
    <t xml:space="preserve">Xpath</t>
  </si>
  <si>
    <t xml:space="preserve">//*[@id="quote-summary"]/div[2]/table/tbody/tr[6]/td[2]</t>
  </si>
  <si>
    <t xml:space="preserve">Pacific</t>
  </si>
  <si>
    <t xml:space="preserve">VPL</t>
  </si>
  <si>
    <t xml:space="preserve">High Div Int</t>
  </si>
  <si>
    <t xml:space="preserve">VYMI</t>
  </si>
  <si>
    <t xml:space="preserve">EAM:IMEU</t>
  </si>
  <si>
    <t xml:space="preserve">Gov Bond</t>
  </si>
  <si>
    <t xml:space="preserve">IEGA</t>
  </si>
  <si>
    <t xml:space="preserve">Corp Bond</t>
  </si>
  <si>
    <t xml:space="preserve">IEAC</t>
  </si>
  <si>
    <t xml:space="preserve">Bitcoin</t>
  </si>
  <si>
    <t xml:space="preserve">COINXBE</t>
  </si>
  <si>
    <t xml:space="preserve">Dividend Portfolio</t>
  </si>
  <si>
    <t xml:space="preserve">Dividend Company</t>
  </si>
  <si>
    <t xml:space="preserve">Ticker</t>
  </si>
  <si>
    <t xml:space="preserve">DPS</t>
  </si>
  <si>
    <t xml:space="preserve">Yield</t>
  </si>
  <si>
    <t xml:space="preserve">Weight</t>
  </si>
  <si>
    <t xml:space="preserve">Adj. Yield</t>
  </si>
  <si>
    <t xml:space="preserve">Income USD</t>
  </si>
  <si>
    <t xml:space="preserve">Income CHF</t>
  </si>
  <si>
    <t xml:space="preserve">P/E</t>
  </si>
  <si>
    <t xml:space="preserve">Adj. PE</t>
  </si>
  <si>
    <t xml:space="preserve">EPS</t>
  </si>
  <si>
    <t xml:space="preserve">E/P</t>
  </si>
  <si>
    <t xml:space="preserve">EPY</t>
  </si>
  <si>
    <t xml:space="preserve">DPR</t>
  </si>
  <si>
    <t xml:space="preserve">Coca Coca</t>
  </si>
  <si>
    <t xml:space="preserve">KO</t>
  </si>
  <si>
    <t xml:space="preserve">Chimera Investment Corp</t>
  </si>
  <si>
    <t xml:space="preserve">CIM</t>
  </si>
  <si>
    <t xml:space="preserve">AT&amp;T</t>
  </si>
  <si>
    <t xml:space="preserve">T</t>
  </si>
  <si>
    <t xml:space="preserve">Interesting Dividends</t>
  </si>
  <si>
    <t xml:space="preserve">Exxon</t>
  </si>
  <si>
    <t xml:space="preserve">XOM</t>
  </si>
  <si>
    <t xml:space="preserve">Philips Morris</t>
  </si>
  <si>
    <t xml:space="preserve">PM</t>
  </si>
  <si>
    <t xml:space="preserve">X</t>
  </si>
  <si>
    <t xml:space="preserve">Abbott Laboratories</t>
  </si>
  <si>
    <t xml:space="preserve">ABT</t>
  </si>
  <si>
    <t xml:space="preserve">McDonald's Corporation</t>
  </si>
  <si>
    <t xml:space="preserve">MCD</t>
  </si>
  <si>
    <t xml:space="preserve">Chevron Corporation</t>
  </si>
  <si>
    <t xml:space="preserve">CVX</t>
  </si>
  <si>
    <t xml:space="preserve">Medtronic plc</t>
  </si>
  <si>
    <t xml:space="preserve">MDT</t>
  </si>
  <si>
    <t xml:space="preserve">Stanley Black &amp; Decker Inc.</t>
  </si>
  <si>
    <t xml:space="preserve">SWK</t>
  </si>
  <si>
    <t xml:space="preserve">3M Company</t>
  </si>
  <si>
    <t xml:space="preserve">MMM</t>
  </si>
  <si>
    <t xml:space="preserve">AFLAC Inc.</t>
  </si>
  <si>
    <t xml:space="preserve">AFL</t>
  </si>
  <si>
    <t xml:space="preserve">AbbVie Inc.</t>
  </si>
  <si>
    <t xml:space="preserve">ABBV</t>
  </si>
  <si>
    <t xml:space="preserve">Air Products &amp; Chemicals Inc</t>
  </si>
  <si>
    <t xml:space="preserve">APD</t>
  </si>
  <si>
    <t xml:space="preserve">A.O. Smith</t>
  </si>
  <si>
    <t xml:space="preserve">AOS</t>
  </si>
  <si>
    <t xml:space="preserve">Archer-Daniels-Midland Co</t>
  </si>
  <si>
    <t xml:space="preserve">ADM</t>
  </si>
  <si>
    <t xml:space="preserve">Automatic Data Processing</t>
  </si>
  <si>
    <t xml:space="preserve">ADP</t>
  </si>
  <si>
    <t xml:space="preserve">Becton Dickinson</t>
  </si>
  <si>
    <t xml:space="preserve">BDX</t>
  </si>
  <si>
    <t xml:space="preserve">Cincinnati Financial Corp</t>
  </si>
  <si>
    <t xml:space="preserve">CINF</t>
  </si>
  <si>
    <t xml:space="preserve">Cintas Corp</t>
  </si>
  <si>
    <t xml:space="preserve">CTAS</t>
  </si>
  <si>
    <t xml:space="preserve">The Clorox Company</t>
  </si>
  <si>
    <t xml:space="preserve">CLX</t>
  </si>
  <si>
    <t xml:space="preserve">Coca-Cola Co</t>
  </si>
  <si>
    <t xml:space="preserve">Colgate-Palmolive</t>
  </si>
  <si>
    <t xml:space="preserve">CL</t>
  </si>
  <si>
    <t xml:space="preserve">Consolidated Edison Inc</t>
  </si>
  <si>
    <t xml:space="preserve">ED</t>
  </si>
  <si>
    <t xml:space="preserve">Weird PE</t>
  </si>
  <si>
    <t xml:space="preserve">Dover Corp</t>
  </si>
  <si>
    <t xml:space="preserve">DOV</t>
  </si>
  <si>
    <t xml:space="preserve">Ecolab Inc</t>
  </si>
  <si>
    <t xml:space="preserve">ECL</t>
  </si>
  <si>
    <t xml:space="preserve">Emerson Electric</t>
  </si>
  <si>
    <t xml:space="preserve">EMR</t>
  </si>
  <si>
    <t xml:space="preserve">Federal Realty Investment Trust</t>
  </si>
  <si>
    <t xml:space="preserve">FRT</t>
  </si>
  <si>
    <t xml:space="preserve">Franklin Resources</t>
  </si>
  <si>
    <t xml:space="preserve">BEN</t>
  </si>
  <si>
    <t xml:space="preserve">General Dynamics</t>
  </si>
  <si>
    <t xml:space="preserve">GD</t>
  </si>
  <si>
    <t xml:space="preserve">Genuine Parts Company</t>
  </si>
  <si>
    <t xml:space="preserve">GPC</t>
  </si>
  <si>
    <t xml:space="preserve">W. W. Grainger</t>
  </si>
  <si>
    <t xml:space="preserve">GWW</t>
  </si>
  <si>
    <t xml:space="preserve">Hormel Foods Corp</t>
  </si>
  <si>
    <t xml:space="preserve">HRL</t>
  </si>
  <si>
    <t xml:space="preserve">Illinois Tool Works</t>
  </si>
  <si>
    <t xml:space="preserve">ITW</t>
  </si>
  <si>
    <t xml:space="preserve">Johnson &amp; Johnson</t>
  </si>
  <si>
    <t xml:space="preserve">JNJ</t>
  </si>
  <si>
    <t xml:space="preserve">Kimberly-Clark</t>
  </si>
  <si>
    <t xml:space="preserve">KMB</t>
  </si>
  <si>
    <t xml:space="preserve">Leggett &amp; Platt</t>
  </si>
  <si>
    <t xml:space="preserve">LEG</t>
  </si>
  <si>
    <t xml:space="preserve">Lowe's Companies, Inc.</t>
  </si>
  <si>
    <t xml:space="preserve">LOW</t>
  </si>
  <si>
    <t xml:space="preserve">McCormick &amp; Company</t>
  </si>
  <si>
    <t xml:space="preserve">MKC</t>
  </si>
  <si>
    <t xml:space="preserve">Nucor</t>
  </si>
  <si>
    <t xml:space="preserve">NUE</t>
  </si>
  <si>
    <t xml:space="preserve">PPG Industries</t>
  </si>
  <si>
    <t xml:space="preserve">PPG</t>
  </si>
  <si>
    <t xml:space="preserve">PepsiCo</t>
  </si>
  <si>
    <t xml:space="preserve">PEP</t>
  </si>
  <si>
    <t xml:space="preserve">Pentair</t>
  </si>
  <si>
    <t xml:space="preserve">PNR</t>
  </si>
  <si>
    <t xml:space="preserve">Praxair</t>
  </si>
  <si>
    <t xml:space="preserve">PX</t>
  </si>
  <si>
    <t xml:space="preserve">Procter &amp; Gamble</t>
  </si>
  <si>
    <t xml:space="preserve">PG</t>
  </si>
  <si>
    <t xml:space="preserve">Roper Technologies</t>
  </si>
  <si>
    <t xml:space="preserve">ROP</t>
  </si>
  <si>
    <t xml:space="preserve">S&amp;P Global (formerly McGraw Hill Financial, Inc.)</t>
  </si>
  <si>
    <t xml:space="preserve">SPGI</t>
  </si>
  <si>
    <t xml:space="preserve">Sherwin-Williams</t>
  </si>
  <si>
    <t xml:space="preserve">SHW</t>
  </si>
  <si>
    <t xml:space="preserve">Sysco</t>
  </si>
  <si>
    <t xml:space="preserve">SYY</t>
  </si>
  <si>
    <t xml:space="preserve">T. Rowe Price</t>
  </si>
  <si>
    <t xml:space="preserve">TROW</t>
  </si>
  <si>
    <t xml:space="preserve">Target Corporation</t>
  </si>
  <si>
    <t xml:space="preserve">TGT</t>
  </si>
  <si>
    <t xml:space="preserve">VF Corporation</t>
  </si>
  <si>
    <t xml:space="preserve">VFC</t>
  </si>
  <si>
    <t xml:space="preserve">Walmart</t>
  </si>
  <si>
    <t xml:space="preserve">WMT</t>
  </si>
  <si>
    <t xml:space="preserve">Walgreen Boots Alliance</t>
  </si>
  <si>
    <t xml:space="preserve">WBA</t>
  </si>
  <si>
    <t xml:space="preserve">Kinder Morgan</t>
  </si>
  <si>
    <t xml:space="preserve">KMI</t>
  </si>
  <si>
    <t xml:space="preserve">Enbridge</t>
  </si>
  <si>
    <t xml:space="preserve">ENB</t>
  </si>
  <si>
    <t xml:space="preserve">Enbridge Energy Partners</t>
  </si>
  <si>
    <t xml:space="preserve">EEP</t>
  </si>
  <si>
    <t xml:space="preserve">Windham Hotel And Resorts</t>
  </si>
  <si>
    <t xml:space="preserve">WH</t>
  </si>
  <si>
    <t xml:space="preserve">Ellington Residential REIT</t>
  </si>
  <si>
    <t xml:space="preserve">EARN</t>
  </si>
  <si>
    <t xml:space="preserve">MSFT</t>
  </si>
  <si>
    <t xml:space="preserve">Lockheed Martin</t>
  </si>
  <si>
    <t xml:space="preserve">LMT</t>
  </si>
  <si>
    <t xml:space="preserve">Verizon</t>
  </si>
  <si>
    <t xml:space="preserve">VZ</t>
  </si>
  <si>
    <t xml:space="preserve">Apple</t>
  </si>
  <si>
    <t xml:space="preserve">AAPL</t>
  </si>
  <si>
    <t xml:space="preserve">Intel Corporation</t>
  </si>
  <si>
    <t xml:space="preserve">INTC</t>
  </si>
  <si>
    <t xml:space="preserve">Kimco Realty</t>
  </si>
  <si>
    <t xml:space="preserve">KIM</t>
  </si>
  <si>
    <t xml:space="preserve">CorEnergy</t>
  </si>
  <si>
    <t xml:space="preserve">CORR</t>
  </si>
  <si>
    <t xml:space="preserve">PREIT</t>
  </si>
  <si>
    <t xml:space="preserve">PEI</t>
  </si>
  <si>
    <t xml:space="preserve">Sabra</t>
  </si>
  <si>
    <t xml:space="preserve">SBRA</t>
  </si>
  <si>
    <t xml:space="preserve">Kite Realty Group</t>
  </si>
  <si>
    <t xml:space="preserve">KRG</t>
  </si>
  <si>
    <t xml:space="preserve">Ladder Capital</t>
  </si>
  <si>
    <t xml:space="preserve">LADR</t>
  </si>
  <si>
    <t xml:space="preserve">Omega Healthcare Investors</t>
  </si>
  <si>
    <t xml:space="preserve">OHI</t>
  </si>
  <si>
    <t xml:space="preserve">Uniti Group Inc.</t>
  </si>
  <si>
    <t xml:space="preserve">UNIT</t>
  </si>
  <si>
    <t xml:space="preserve">Altria Group</t>
  </si>
  <si>
    <t xml:space="preserve">MO</t>
  </si>
  <si>
    <t xml:space="preserve">Dominion Energy</t>
  </si>
  <si>
    <t xml:space="preserve">D</t>
  </si>
  <si>
    <t xml:space="preserve">Kraft Heinz</t>
  </si>
  <si>
    <t xml:space="preserve">KHC</t>
  </si>
  <si>
    <t xml:space="preserve">Owens &amp; Minor’s</t>
  </si>
  <si>
    <t xml:space="preserve">OMI</t>
  </si>
  <si>
    <t xml:space="preserve">STAG Industrials</t>
  </si>
  <si>
    <t xml:space="preserve">STAG</t>
  </si>
  <si>
    <t xml:space="preserve">B&amp;G Foods</t>
  </si>
  <si>
    <t xml:space="preserve">BGS</t>
  </si>
  <si>
    <t xml:space="preserve">Ford</t>
  </si>
  <si>
    <t xml:space="preserve">F</t>
  </si>
  <si>
    <t xml:space="preserve">Canadian Railroad</t>
  </si>
  <si>
    <t xml:space="preserve">CNI</t>
  </si>
  <si>
    <t xml:space="preserve">J.M. Smucker</t>
  </si>
  <si>
    <t xml:space="preserve">SJM</t>
  </si>
  <si>
    <t xml:space="preserve">Texas Instruments </t>
  </si>
  <si>
    <t xml:space="preserve">TXN</t>
  </si>
  <si>
    <t xml:space="preserve">FedEx Corporation</t>
  </si>
  <si>
    <t xml:space="preserve">FDX</t>
  </si>
  <si>
    <t xml:space="preserve">JP Morgan</t>
  </si>
  <si>
    <t xml:space="preserve">JPM</t>
  </si>
  <si>
    <t xml:space="preserve">Wells Fargo</t>
  </si>
  <si>
    <t xml:space="preserve">WFC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</si>
</sst>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"/>
    <numFmt numFmtId="166" formatCode="#,##0.00"/>
    <numFmt numFmtId="167" formatCode="m/d/yyyy"/>
    <numFmt numFmtId="168" formatCode="0"/>
    <numFmt numFmtId="169" formatCode="0.00%"/>
    <numFmt numFmtId="170" formatCode="0%"/>
    <numFmt numFmtId="171" formatCode="0.0%"/>
    <numFmt numFmtId="172" formatCode="###0.00"/>
    <numFmt numFmtId="173" formatCode="\$#,##0"/>
    <numFmt numFmtId="174" formatCode="mm/dd/yyyy"/>
  </numFmts>
  <fonts count="3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0"/>
      <charset val="1"/>
    </font>
    <font>
      <sz val="11"/>
      <name val="Cambria"/>
      <family val="0"/>
      <charset val="1"/>
    </font>
    <font>
      <sz val="24"/>
      <color rgb="FF000000"/>
      <name val="Roboto"/>
      <family val="2"/>
    </font>
    <font>
      <sz val="10"/>
      <color rgb="FF000000"/>
      <name val="Roboto"/>
      <family val="2"/>
    </font>
    <font>
      <sz val="20"/>
      <color rgb="FF000000"/>
      <name val="Roboto"/>
      <family val="2"/>
    </font>
    <font>
      <sz val="18"/>
      <color rgb="FF000000"/>
      <name val="Roboto"/>
      <family val="2"/>
    </font>
    <font>
      <sz val="10"/>
      <color rgb="FF000000"/>
      <name val="Cantarell"/>
      <family val="0"/>
      <charset val="1"/>
    </font>
    <font>
      <sz val="11"/>
      <name val="Cantarell"/>
      <family val="0"/>
      <charset val="1"/>
    </font>
    <font>
      <b val="true"/>
      <sz val="11"/>
      <color rgb="FFFFFFFF"/>
      <name val="Cantarell"/>
      <family val="0"/>
      <charset val="1"/>
    </font>
    <font>
      <b val="true"/>
      <sz val="11"/>
      <name val="Cantarell"/>
      <family val="0"/>
      <charset val="1"/>
    </font>
    <font>
      <sz val="10"/>
      <name val="Cantarell"/>
      <family val="0"/>
      <charset val="1"/>
    </font>
    <font>
      <sz val="12"/>
      <name val="Cantarell"/>
      <family val="0"/>
      <charset val="1"/>
    </font>
    <font>
      <b val="true"/>
      <sz val="18"/>
      <color rgb="FFFFFFFF"/>
      <name val="Cantarell"/>
      <family val="0"/>
      <charset val="1"/>
    </font>
    <font>
      <sz val="11"/>
      <color rgb="FF212529"/>
      <name val="Cantarell"/>
      <family val="0"/>
      <charset val="1"/>
    </font>
    <font>
      <u val="single"/>
      <sz val="11"/>
      <color rgb="FF0000FF"/>
      <name val="Cantarell"/>
      <family val="0"/>
      <charset val="1"/>
    </font>
    <font>
      <b val="true"/>
      <sz val="11"/>
      <color rgb="FFFFFFFF"/>
      <name val="Cambria"/>
      <family val="0"/>
      <charset val="1"/>
    </font>
    <font>
      <b val="true"/>
      <sz val="11"/>
      <name val="Cambria"/>
      <family val="0"/>
      <charset val="1"/>
    </font>
    <font>
      <sz val="10"/>
      <name val="Cambria"/>
      <family val="0"/>
      <charset val="1"/>
    </font>
    <font>
      <sz val="12"/>
      <name val="Cambria"/>
      <family val="0"/>
      <charset val="1"/>
    </font>
    <font>
      <b val="true"/>
      <sz val="18"/>
      <color rgb="FFFFFFFF"/>
      <name val="Cambria"/>
      <family val="0"/>
      <charset val="1"/>
    </font>
    <font>
      <b val="true"/>
      <sz val="11"/>
      <name val="Arial"/>
      <family val="0"/>
      <charset val="1"/>
    </font>
    <font>
      <sz val="11"/>
      <color rgb="FF212529"/>
      <name val="-apple-system"/>
      <family val="0"/>
      <charset val="1"/>
    </font>
    <font>
      <b val="true"/>
      <sz val="11"/>
      <color rgb="FFFF0000"/>
      <name val="Cambria"/>
      <family val="0"/>
      <charset val="1"/>
    </font>
    <font>
      <b val="true"/>
      <sz val="12"/>
      <name val="Cambria"/>
      <family val="0"/>
      <charset val="1"/>
    </font>
    <font>
      <sz val="12"/>
      <color rgb="FF000000"/>
      <name val="Cambria"/>
      <family val="0"/>
      <charset val="1"/>
    </font>
    <font>
      <sz val="11"/>
      <color rgb="FF212529"/>
      <name val="Arial"/>
      <family val="0"/>
      <charset val="1"/>
    </font>
    <font>
      <sz val="11"/>
      <color rgb="FF000000"/>
      <name val="Cambria"/>
      <family val="0"/>
      <charset val="1"/>
    </font>
    <font>
      <sz val="11"/>
      <color rgb="FF000000"/>
      <name val="Inconsolata"/>
      <family val="0"/>
      <charset val="1"/>
    </font>
    <font>
      <sz val="10"/>
      <name val="Arial"/>
      <family val="0"/>
      <charset val="1"/>
    </font>
    <font>
      <sz val="11"/>
      <color rgb="FF000000"/>
      <name val="PTSansRegular"/>
      <family val="0"/>
      <charset val="1"/>
    </font>
    <font>
      <sz val="11"/>
      <color rgb="FF000000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1C4587"/>
        <bgColor rgb="FF003366"/>
      </patternFill>
    </fill>
    <fill>
      <patternFill patternType="solid">
        <fgColor rgb="FF9FC5E8"/>
        <bgColor rgb="FFB7B7B7"/>
      </patternFill>
    </fill>
    <fill>
      <patternFill patternType="solid">
        <fgColor rgb="FFCC4125"/>
        <bgColor rgb="FFDB4437"/>
      </patternFill>
    </fill>
    <fill>
      <patternFill patternType="solid">
        <fgColor rgb="FFD9D9D9"/>
        <bgColor rgb="FFDEE2E6"/>
      </patternFill>
    </fill>
    <fill>
      <patternFill patternType="solid">
        <fgColor rgb="FFFFFFFF"/>
        <bgColor rgb="FFFFFFCC"/>
      </patternFill>
    </fill>
    <fill>
      <patternFill patternType="solid">
        <fgColor rgb="FF3C78D8"/>
        <bgColor rgb="FF4285F4"/>
      </patternFill>
    </fill>
    <fill>
      <patternFill patternType="solid">
        <fgColor rgb="FFFF9900"/>
        <bgColor rgb="FFF4B400"/>
      </patternFill>
    </fill>
    <fill>
      <patternFill patternType="solid">
        <fgColor rgb="FFB6D7A8"/>
        <bgColor rgb="FFB7E1CD"/>
      </patternFill>
    </fill>
    <fill>
      <patternFill patternType="solid">
        <fgColor rgb="FF00FF00"/>
        <bgColor rgb="FF33CCCC"/>
      </patternFill>
    </fill>
    <fill>
      <patternFill patternType="solid">
        <fgColor rgb="FF6AA84F"/>
        <bgColor rgb="FF93C47D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>
        <color rgb="FFDEE2E6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1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1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11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11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9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5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6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9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7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6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8"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E69138"/>
        </patternFill>
      </fill>
    </dxf>
    <dxf>
      <font>
        <color rgb="FF000000"/>
      </font>
      <fill>
        <patternFill>
          <bgColor rgb="FFFFD966"/>
        </patternFill>
      </fill>
    </dxf>
    <dxf>
      <font>
        <color rgb="FFFFFFFF"/>
      </font>
      <fill>
        <patternFill>
          <bgColor rgb="FF93C47D"/>
        </patternFill>
      </fill>
    </dxf>
    <dxf>
      <font>
        <b val="1"/>
        <color rgb="FF000000"/>
      </font>
      <fill>
        <patternFill>
          <bgColor rgb="FF00FF00"/>
        </patternFill>
      </fill>
    </dxf>
    <dxf>
      <font>
        <color rgb="FFFFFFFF"/>
      </font>
      <fill>
        <patternFill>
          <bgColor rgb="FFFFD966"/>
        </patternFill>
      </fill>
    </dxf>
    <dxf>
      <fill>
        <patternFill>
          <bgColor rgb="FFB7E1CD"/>
        </patternFill>
      </fill>
    </dxf>
    <dxf>
      <fill>
        <patternFill>
          <bgColor rgb="FFF4C7C3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FFFFCC"/>
      <rgbColor rgb="FFDEE2E6"/>
      <rgbColor rgb="FF660066"/>
      <rgbColor rgb="FFE69138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B6D7A8"/>
      <rgbColor rgb="FFB7E1CD"/>
      <rgbColor rgb="FFFFD966"/>
      <rgbColor rgb="FF9FC5E8"/>
      <rgbColor rgb="FFFF99CC"/>
      <rgbColor rgb="FFCC99FF"/>
      <rgbColor rgb="FFF4C7C3"/>
      <rgbColor rgb="FF3C78D8"/>
      <rgbColor rgb="FF33CCCC"/>
      <rgbColor rgb="FF99CC00"/>
      <rgbColor rgb="FFF4B400"/>
      <rgbColor rgb="FFFF9900"/>
      <rgbColor rgb="FFDB4437"/>
      <rgbColor rgb="FF4285F4"/>
      <rgbColor rgb="FF93C47D"/>
      <rgbColor rgb="FF003366"/>
      <rgbColor rgb="FF6AA84F"/>
      <rgbColor rgb="FF003300"/>
      <rgbColor rgb="FF333300"/>
      <rgbColor rgb="FFCC4125"/>
      <rgbColor rgb="FF993366"/>
      <rgbColor rgb="FF1C4587"/>
      <rgbColor rgb="FF21252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2400" b="0" u="none" strike="noStrike">
                <a:solidFill>
                  <a:srgbClr val="000000"/>
                </a:solidFill>
                <a:uFillTx/>
                <a:latin typeface="Roboto"/>
              </a:rPr>
              <a:t>Expenses and Income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Overview!$C$2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rgbClr val="4285f4"/>
            </a:solidFill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Overview!$B$3:$B$10</c:f>
              <c:strCache>
                <c:ptCount val="8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</c:strCache>
            </c:strRef>
          </c:cat>
          <c:val>
            <c:numRef>
              <c:f>Overview!$C$3:$C$10</c:f>
              <c:numCache>
                <c:formatCode>General</c:formatCode>
                <c:ptCount val="8"/>
                <c:pt idx="0">
                  <c:v>73187.13</c:v>
                </c:pt>
                <c:pt idx="1">
                  <c:v>68044</c:v>
                </c:pt>
                <c:pt idx="2">
                  <c:v>65730</c:v>
                </c:pt>
                <c:pt idx="3">
                  <c:v>60404.21</c:v>
                </c:pt>
                <c:pt idx="4">
                  <c:v>52227.37</c:v>
                </c:pt>
                <c:pt idx="5">
                  <c:v>57936</c:v>
                </c:pt>
                <c:pt idx="6">
                  <c:v>56053</c:v>
                </c:pt>
                <c:pt idx="7">
                  <c:v>56763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Overview!$D$2</c:f>
              <c:strCache>
                <c:ptCount val="1"/>
                <c:pt idx="0">
                  <c:v>Total Expenses</c:v>
                </c:pt>
              </c:strCache>
            </c:strRef>
          </c:tx>
          <c:spPr>
            <a:solidFill>
              <a:srgbClr val="db4437"/>
            </a:solidFill>
            <a:ln w="12600">
              <a:solidFill>
                <a:srgbClr val="db4437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Overview!$B$3:$B$10</c:f>
              <c:strCache>
                <c:ptCount val="8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</c:strCache>
            </c:strRef>
          </c:cat>
          <c:val>
            <c:numRef>
              <c:f>Overview!$D$3:$D$10</c:f>
              <c:numCache>
                <c:formatCode>General</c:formatCode>
                <c:ptCount val="8"/>
                <c:pt idx="0">
                  <c:v>148445.44</c:v>
                </c:pt>
                <c:pt idx="1">
                  <c:v>151063</c:v>
                </c:pt>
                <c:pt idx="2">
                  <c:v>135795</c:v>
                </c:pt>
                <c:pt idx="3">
                  <c:v>136317</c:v>
                </c:pt>
                <c:pt idx="4">
                  <c:v>122914.64</c:v>
                </c:pt>
                <c:pt idx="5">
                  <c:v>96275</c:v>
                </c:pt>
                <c:pt idx="6">
                  <c:v>63995</c:v>
                </c:pt>
                <c:pt idx="7">
                  <c:v>64108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5221264"/>
        <c:axId val="52478890"/>
      </c:lineChart>
      <c:catAx>
        <c:axId val="9522126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sz="1000" b="0" u="none" strike="noStrike">
                    <a:solidFill>
                      <a:srgbClr val="000000"/>
                    </a:solidFill>
                    <a:uFillTx/>
                    <a:latin typeface="Roboto"/>
                  </a:rPr>
                  <a:t>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52478890"/>
        <c:crosses val="autoZero"/>
        <c:auto val="1"/>
        <c:lblAlgn val="ctr"/>
        <c:lblOffset val="100"/>
        <c:noMultiLvlLbl val="0"/>
      </c:catAx>
      <c:valAx>
        <c:axId val="52478890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95221264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2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1800" b="0" u="none" strike="noStrike">
                <a:solidFill>
                  <a:srgbClr val="000000"/>
                </a:solidFill>
                <a:uFillTx/>
                <a:latin typeface="Roboto"/>
              </a:rPr>
              <a:t>Net Worth</a:t>
            </a:r>
          </a:p>
        </c:rich>
      </c:tx>
      <c:layout>
        <c:manualLayout>
          <c:xMode val="edge"/>
          <c:yMode val="edge"/>
          <c:x val="0.0356073099316797"/>
          <c:y val="0.0500114705207616"/>
        </c:manualLayout>
      </c:layout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Overview!$F$2</c:f>
              <c:strCache>
                <c:ptCount val="1"/>
                <c:pt idx="0">
                  <c:v>Net Worth</c:v>
                </c:pt>
              </c:strCache>
            </c:strRef>
          </c:tx>
          <c:spPr>
            <a:solidFill>
              <a:srgbClr val="4285f4"/>
            </a:solidFill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Overview!$B$3:$B$10</c:f>
              <c:strCache>
                <c:ptCount val="8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</c:strCache>
            </c:strRef>
          </c:cat>
          <c:val>
            <c:numRef>
              <c:f>Overview!$F$3:$F$10</c:f>
              <c:numCache>
                <c:formatCode>#,##0</c:formatCode>
                <c:ptCount val="8"/>
                <c:pt idx="0">
                  <c:v>1722322</c:v>
                </c:pt>
                <c:pt idx="1">
                  <c:v>1188636</c:v>
                </c:pt>
                <c:pt idx="2">
                  <c:v>788106</c:v>
                </c:pt>
                <c:pt idx="3">
                  <c:v>535829.54</c:v>
                </c:pt>
                <c:pt idx="4">
                  <c:v>470254</c:v>
                </c:pt>
                <c:pt idx="5">
                  <c:v>338804</c:v>
                </c:pt>
                <c:pt idx="6">
                  <c:v>231136</c:v>
                </c:pt>
                <c:pt idx="7">
                  <c:v>124777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8637154"/>
        <c:axId val="40795478"/>
      </c:lineChart>
      <c:catAx>
        <c:axId val="386371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sz="1000" b="0" u="none" strike="noStrike">
                    <a:solidFill>
                      <a:srgbClr val="000000"/>
                    </a:solidFill>
                    <a:uFillTx/>
                    <a:latin typeface="Roboto"/>
                  </a:rPr>
                  <a:t>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40795478"/>
        <c:crosses val="autoZero"/>
        <c:auto val="1"/>
        <c:lblAlgn val="ctr"/>
        <c:lblOffset val="100"/>
        <c:noMultiLvlLbl val="0"/>
      </c:catAx>
      <c:valAx>
        <c:axId val="40795478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38637154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1800" b="0" u="none" strike="noStrike">
                <a:solidFill>
                  <a:srgbClr val="000000"/>
                </a:solidFill>
                <a:uFillTx/>
                <a:latin typeface="Roboto"/>
              </a:rPr>
              <a:t>FI Ratio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Overview!$G$2</c:f>
              <c:strCache>
                <c:ptCount val="1"/>
                <c:pt idx="0">
                  <c:v>FI Ratio</c:v>
                </c:pt>
              </c:strCache>
            </c:strRef>
          </c:tx>
          <c:spPr>
            <a:solidFill>
              <a:srgbClr val="4285f4"/>
            </a:solidFill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Overview!$B$3:$B$10</c:f>
              <c:strCache>
                <c:ptCount val="8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</c:strCache>
            </c:strRef>
          </c:cat>
          <c:val>
            <c:numRef>
              <c:f>Overview!$G$3:$G$10</c:f>
              <c:numCache>
                <c:formatCode>General</c:formatCode>
                <c:ptCount val="8"/>
                <c:pt idx="0">
                  <c:v>33.58</c:v>
                </c:pt>
                <c:pt idx="1">
                  <c:v>34.81</c:v>
                </c:pt>
                <c:pt idx="2">
                  <c:v>21.81</c:v>
                </c:pt>
                <c:pt idx="3">
                  <c:v>12.6</c:v>
                </c:pt>
                <c:pt idx="4">
                  <c:v>11.42</c:v>
                </c:pt>
                <c:pt idx="5">
                  <c:v>8.03</c:v>
                </c:pt>
                <c:pt idx="6">
                  <c:v>15.86</c:v>
                </c:pt>
                <c:pt idx="7">
                  <c:v>7.97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8708949"/>
        <c:axId val="90272195"/>
      </c:lineChart>
      <c:catAx>
        <c:axId val="1870894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sz="1000" b="0" u="none" strike="noStrike">
                    <a:solidFill>
                      <a:srgbClr val="000000"/>
                    </a:solidFill>
                    <a:uFillTx/>
                    <a:latin typeface="Roboto"/>
                  </a:rPr>
                  <a:t>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90272195"/>
        <c:crosses val="autoZero"/>
        <c:auto val="1"/>
        <c:lblAlgn val="ctr"/>
        <c:lblOffset val="100"/>
        <c:noMultiLvlLbl val="0"/>
      </c:catAx>
      <c:valAx>
        <c:axId val="90272195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18708949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2400" b="0" u="none" strike="noStrike">
                <a:solidFill>
                  <a:srgbClr val="000000"/>
                </a:solidFill>
                <a:uFillTx/>
                <a:latin typeface="Roboto"/>
              </a:rPr>
              <a:t>Income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Overview!$E$2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rgbClr val="4285f4"/>
            </a:solidFill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Overview!$B$3:$B$10</c:f>
              <c:strCache>
                <c:ptCount val="8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</c:strCache>
            </c:strRef>
          </c:cat>
          <c:val>
            <c:numRef>
              <c:f>Overview!$E$3:$E$10</c:f>
              <c:numCache>
                <c:formatCode>General</c:formatCode>
                <c:ptCount val="8"/>
                <c:pt idx="0">
                  <c:v>294161.15</c:v>
                </c:pt>
                <c:pt idx="1">
                  <c:v>289717</c:v>
                </c:pt>
                <c:pt idx="2">
                  <c:v>312113</c:v>
                </c:pt>
                <c:pt idx="3">
                  <c:v>263221.87</c:v>
                </c:pt>
                <c:pt idx="4">
                  <c:v>214724.63</c:v>
                </c:pt>
                <c:pt idx="5">
                  <c:v>176117</c:v>
                </c:pt>
                <c:pt idx="6">
                  <c:v>137077</c:v>
                </c:pt>
                <c:pt idx="7">
                  <c:v>107286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9954073"/>
        <c:axId val="52059362"/>
      </c:lineChart>
      <c:catAx>
        <c:axId val="7995407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sz="1000" b="0" u="none" strike="noStrike">
                    <a:solidFill>
                      <a:srgbClr val="000000"/>
                    </a:solidFill>
                    <a:uFillTx/>
                    <a:latin typeface="Roboto"/>
                  </a:rPr>
                  <a:t>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52059362"/>
        <c:crosses val="autoZero"/>
        <c:auto val="1"/>
        <c:lblAlgn val="ctr"/>
        <c:lblOffset val="100"/>
        <c:noMultiLvlLbl val="0"/>
      </c:catAx>
      <c:valAx>
        <c:axId val="52059362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79954073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2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'2020'!$B$49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rgbClr val="4285f4"/>
            </a:solidFill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'2020'!$C$48:$N$48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'2020'!$C$49:$N$49</c:f>
              <c:numCache>
                <c:formatCode>General</c:formatCode>
                <c:ptCount val="12"/>
                <c:pt idx="0">
                  <c:v>5532.49</c:v>
                </c:pt>
                <c:pt idx="1">
                  <c:v>3787.76</c:v>
                </c:pt>
                <c:pt idx="2">
                  <c:v>3927.2</c:v>
                </c:pt>
                <c:pt idx="3">
                  <c:v>3188.04</c:v>
                </c:pt>
                <c:pt idx="4">
                  <c:v>3951.17</c:v>
                </c:pt>
                <c:pt idx="5">
                  <c:v>3955.97</c:v>
                </c:pt>
                <c:pt idx="6">
                  <c:v>3643.57</c:v>
                </c:pt>
                <c:pt idx="7">
                  <c:v>8922</c:v>
                </c:pt>
                <c:pt idx="8">
                  <c:v>8543</c:v>
                </c:pt>
                <c:pt idx="9">
                  <c:v>4321.87</c:v>
                </c:pt>
                <c:pt idx="10">
                  <c:v>5902.74</c:v>
                </c:pt>
                <c:pt idx="11">
                  <c:v>5969.48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'2020'!$B$50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rgbClr val="db4437"/>
            </a:solidFill>
            <a:ln w="12600">
              <a:solidFill>
                <a:srgbClr val="db4437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'2020'!$C$48:$N$48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'2020'!$C$50:$N$50</c:f>
              <c:numCache>
                <c:formatCode>General</c:formatCode>
                <c:ptCount val="12"/>
                <c:pt idx="0">
                  <c:v>11414</c:v>
                </c:pt>
                <c:pt idx="1">
                  <c:v>11688</c:v>
                </c:pt>
                <c:pt idx="2">
                  <c:v>27211.22</c:v>
                </c:pt>
                <c:pt idx="3">
                  <c:v>14012</c:v>
                </c:pt>
                <c:pt idx="4">
                  <c:v>12823</c:v>
                </c:pt>
                <c:pt idx="5">
                  <c:v>12460.35</c:v>
                </c:pt>
                <c:pt idx="6">
                  <c:v>14192.24</c:v>
                </c:pt>
                <c:pt idx="7">
                  <c:v>13084.15</c:v>
                </c:pt>
                <c:pt idx="8">
                  <c:v>11995</c:v>
                </c:pt>
                <c:pt idx="9">
                  <c:v>15057.94</c:v>
                </c:pt>
                <c:pt idx="10">
                  <c:v>13799.5</c:v>
                </c:pt>
                <c:pt idx="11">
                  <c:v>13891.25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'2020'!$B$51</c:f>
              <c:strCache>
                <c:ptCount val="1"/>
                <c:pt idx="0">
                  <c:v>Blog Income</c:v>
                </c:pt>
              </c:strCache>
            </c:strRef>
          </c:tx>
          <c:spPr>
            <a:solidFill>
              <a:srgbClr val="f4b400"/>
            </a:solidFill>
            <a:ln w="12600">
              <a:solidFill>
                <a:srgbClr val="f4b4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'2020'!$C$48:$N$48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'2020'!$C$51:$N$51</c:f>
              <c:numCache>
                <c:formatCode>General</c:formatCode>
                <c:ptCount val="12"/>
                <c:pt idx="0">
                  <c:v>564.1</c:v>
                </c:pt>
                <c:pt idx="1">
                  <c:v>838.7</c:v>
                </c:pt>
                <c:pt idx="2">
                  <c:v>1644.82</c:v>
                </c:pt>
                <c:pt idx="3">
                  <c:v>1962.99</c:v>
                </c:pt>
                <c:pt idx="4">
                  <c:v>1270.4</c:v>
                </c:pt>
                <c:pt idx="5">
                  <c:v>1260.35</c:v>
                </c:pt>
                <c:pt idx="6">
                  <c:v>2010.95</c:v>
                </c:pt>
                <c:pt idx="7">
                  <c:v>2379.45</c:v>
                </c:pt>
                <c:pt idx="8">
                  <c:v>970</c:v>
                </c:pt>
                <c:pt idx="9">
                  <c:v>1997.94</c:v>
                </c:pt>
                <c:pt idx="10">
                  <c:v>2659.5</c:v>
                </c:pt>
                <c:pt idx="11">
                  <c:v>2808.73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0564751"/>
        <c:axId val="90248177"/>
      </c:lineChart>
      <c:catAx>
        <c:axId val="9056475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90248177"/>
        <c:crosses val="autoZero"/>
        <c:auto val="1"/>
        <c:lblAlgn val="ctr"/>
        <c:lblOffset val="100"/>
        <c:noMultiLvlLbl val="0"/>
      </c:catAx>
      <c:valAx>
        <c:axId val="90248177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90564751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4285f4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'2019'!$F$87:$F$90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'2019'!$G$87:$G$90</c:f>
              <c:numCache>
                <c:formatCode>General</c:formatCode>
                <c:ptCount val="4"/>
                <c:pt idx="0">
                  <c:v>77.47</c:v>
                </c:pt>
                <c:pt idx="1">
                  <c:v>719.49</c:v>
                </c:pt>
                <c:pt idx="2">
                  <c:v>374.98</c:v>
                </c:pt>
                <c:pt idx="3">
                  <c:v>0</c:v>
                </c:pt>
              </c:numCache>
            </c:numRef>
          </c:val>
        </c:ser>
        <c:gapWidth val="150"/>
        <c:overlap val="0"/>
        <c:axId val="46729350"/>
        <c:axId val="51818462"/>
      </c:barChart>
      <c:catAx>
        <c:axId val="4672935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51818462"/>
        <c:crosses val="autoZero"/>
        <c:auto val="1"/>
        <c:lblAlgn val="ctr"/>
        <c:lblOffset val="100"/>
        <c:noMultiLvlLbl val="0"/>
      </c:catAx>
      <c:valAx>
        <c:axId val="51818462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46729350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sz="1800" b="0" u="none" strike="noStrike">
                <a:solidFill>
                  <a:srgbClr val="000000"/>
                </a:solidFill>
                <a:uFillTx/>
                <a:latin typeface="Roboto"/>
              </a:rPr>
              <a:t>2018 Dividends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4285f4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'2018'!$G$70:$G$73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'2018'!$H$70:$H$73</c:f>
              <c:numCache>
                <c:formatCode>General</c:formatCode>
                <c:ptCount val="4"/>
                <c:pt idx="0">
                  <c:v>50.24</c:v>
                </c:pt>
                <c:pt idx="1">
                  <c:v>154.35</c:v>
                </c:pt>
                <c:pt idx="2">
                  <c:v>205.27</c:v>
                </c:pt>
              </c:numCache>
            </c:numRef>
          </c:val>
        </c:ser>
        <c:gapWidth val="150"/>
        <c:overlap val="0"/>
        <c:axId val="60501582"/>
        <c:axId val="32385911"/>
      </c:barChart>
      <c:catAx>
        <c:axId val="6050158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32385911"/>
        <c:crosses val="autoZero"/>
        <c:auto val="1"/>
        <c:lblAlgn val="ctr"/>
        <c:lblOffset val="100"/>
        <c:noMultiLvlLbl val="0"/>
      </c:catAx>
      <c:valAx>
        <c:axId val="32385911"/>
        <c:scaling>
          <c:orientation val="minMax"/>
        </c:scaling>
        <c:delete val="0"/>
        <c:axPos val="l"/>
        <c:majorGridlines>
          <c:spPr>
            <a:ln w="0">
              <a:solidFill>
                <a:srgbClr val="b7b7b7"/>
              </a:solidFill>
            </a:ln>
          </c:spPr>
        </c:majorGridlines>
        <c:numFmt formatCode="General" sourceLinked="0"/>
        <c:majorTickMark val="none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Roboto"/>
              </a:defRPr>
            </a:pPr>
          </a:p>
        </c:txPr>
        <c:crossAx val="60501582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Roboto"/>
            </a:defRPr>
          </a:pPr>
        </a:p>
      </c:txPr>
    </c:legend>
    <c:plotVisOnly val="1"/>
    <c:dispBlanksAs val="zero"/>
  </c:chart>
  <c:spPr>
    <a:noFill/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chart" Target="../charts/chart6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723960</xdr:colOff>
      <xdr:row>10</xdr:row>
      <xdr:rowOff>123840</xdr:rowOff>
    </xdr:from>
    <xdr:to>
      <xdr:col>12</xdr:col>
      <xdr:colOff>784440</xdr:colOff>
      <xdr:row>41</xdr:row>
      <xdr:rowOff>199440</xdr:rowOff>
    </xdr:to>
    <xdr:graphicFrame>
      <xdr:nvGraphicFramePr>
        <xdr:cNvPr id="1" name="Chart 1"/>
        <xdr:cNvGraphicFramePr/>
      </xdr:nvGraphicFramePr>
      <xdr:xfrm>
        <a:off x="723960" y="2124000"/>
        <a:ext cx="10743840" cy="6276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752400</xdr:colOff>
      <xdr:row>42</xdr:row>
      <xdr:rowOff>190440</xdr:rowOff>
    </xdr:from>
    <xdr:to>
      <xdr:col>12</xdr:col>
      <xdr:colOff>765360</xdr:colOff>
      <xdr:row>74</xdr:row>
      <xdr:rowOff>66240</xdr:rowOff>
    </xdr:to>
    <xdr:graphicFrame>
      <xdr:nvGraphicFramePr>
        <xdr:cNvPr id="2" name="Chart 2"/>
        <xdr:cNvGraphicFramePr/>
      </xdr:nvGraphicFramePr>
      <xdr:xfrm>
        <a:off x="752400" y="8591400"/>
        <a:ext cx="10696320" cy="6276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85680</xdr:colOff>
      <xdr:row>42</xdr:row>
      <xdr:rowOff>190440</xdr:rowOff>
    </xdr:from>
    <xdr:to>
      <xdr:col>24</xdr:col>
      <xdr:colOff>146520</xdr:colOff>
      <xdr:row>71</xdr:row>
      <xdr:rowOff>95040</xdr:rowOff>
    </xdr:to>
    <xdr:graphicFrame>
      <xdr:nvGraphicFramePr>
        <xdr:cNvPr id="3" name="Chart 3"/>
        <xdr:cNvGraphicFramePr/>
      </xdr:nvGraphicFramePr>
      <xdr:xfrm>
        <a:off x="10769040" y="8591400"/>
        <a:ext cx="10743840" cy="5705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12</xdr:col>
      <xdr:colOff>85680</xdr:colOff>
      <xdr:row>10</xdr:row>
      <xdr:rowOff>123840</xdr:rowOff>
    </xdr:from>
    <xdr:to>
      <xdr:col>24</xdr:col>
      <xdr:colOff>146520</xdr:colOff>
      <xdr:row>41</xdr:row>
      <xdr:rowOff>199440</xdr:rowOff>
    </xdr:to>
    <xdr:graphicFrame>
      <xdr:nvGraphicFramePr>
        <xdr:cNvPr id="4" name="Chart 4"/>
        <xdr:cNvGraphicFramePr/>
      </xdr:nvGraphicFramePr>
      <xdr:xfrm>
        <a:off x="10769040" y="2124000"/>
        <a:ext cx="10743840" cy="6276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590400</xdr:colOff>
      <xdr:row>65</xdr:row>
      <xdr:rowOff>96480</xdr:rowOff>
    </xdr:from>
    <xdr:to>
      <xdr:col>15</xdr:col>
      <xdr:colOff>284760</xdr:colOff>
      <xdr:row>83</xdr:row>
      <xdr:rowOff>29520</xdr:rowOff>
    </xdr:to>
    <xdr:graphicFrame>
      <xdr:nvGraphicFramePr>
        <xdr:cNvPr id="5" name="Chart 5"/>
        <xdr:cNvGraphicFramePr/>
      </xdr:nvGraphicFramePr>
      <xdr:xfrm>
        <a:off x="5869800" y="13258800"/>
        <a:ext cx="5714640" cy="35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228600</xdr:colOff>
      <xdr:row>73</xdr:row>
      <xdr:rowOff>124200</xdr:rowOff>
    </xdr:from>
    <xdr:to>
      <xdr:col>14</xdr:col>
      <xdr:colOff>79560</xdr:colOff>
      <xdr:row>85</xdr:row>
      <xdr:rowOff>133560</xdr:rowOff>
    </xdr:to>
    <xdr:pic>
      <xdr:nvPicPr>
        <xdr:cNvPr id="6" name="Chart6"/>
        <xdr:cNvPicPr/>
      </xdr:nvPicPr>
      <xdr:blipFill>
        <a:blip r:embed="rId1"/>
        <a:stretch/>
      </xdr:blipFill>
      <xdr:spPr>
        <a:xfrm>
          <a:off x="6530400" y="14887440"/>
          <a:ext cx="3904920" cy="24094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8</xdr:col>
      <xdr:colOff>133200</xdr:colOff>
      <xdr:row>87</xdr:row>
      <xdr:rowOff>124560</xdr:rowOff>
    </xdr:from>
    <xdr:to>
      <xdr:col>14</xdr:col>
      <xdr:colOff>174600</xdr:colOff>
      <xdr:row>100</xdr:row>
      <xdr:rowOff>47520</xdr:rowOff>
    </xdr:to>
    <xdr:graphicFrame>
      <xdr:nvGraphicFramePr>
        <xdr:cNvPr id="7" name="Chart 7"/>
        <xdr:cNvGraphicFramePr/>
      </xdr:nvGraphicFramePr>
      <xdr:xfrm>
        <a:off x="6435000" y="17687880"/>
        <a:ext cx="4095360" cy="2523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266760</xdr:colOff>
      <xdr:row>45</xdr:row>
      <xdr:rowOff>130680</xdr:rowOff>
    </xdr:from>
    <xdr:to>
      <xdr:col>6</xdr:col>
      <xdr:colOff>14400</xdr:colOff>
      <xdr:row>59</xdr:row>
      <xdr:rowOff>54360</xdr:rowOff>
    </xdr:to>
    <xdr:pic>
      <xdr:nvPicPr>
        <xdr:cNvPr id="8" name="Chart8"/>
        <xdr:cNvPicPr/>
      </xdr:nvPicPr>
      <xdr:blipFill>
        <a:blip r:embed="rId1"/>
        <a:stretch/>
      </xdr:blipFill>
      <xdr:spPr>
        <a:xfrm>
          <a:off x="522720" y="9267840"/>
          <a:ext cx="4409640" cy="2723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190440</xdr:colOff>
      <xdr:row>61</xdr:row>
      <xdr:rowOff>168840</xdr:rowOff>
    </xdr:from>
    <xdr:to>
      <xdr:col>4</xdr:col>
      <xdr:colOff>374400</xdr:colOff>
      <xdr:row>74</xdr:row>
      <xdr:rowOff>54360</xdr:rowOff>
    </xdr:to>
    <xdr:graphicFrame>
      <xdr:nvGraphicFramePr>
        <xdr:cNvPr id="9" name="Chart 9"/>
        <xdr:cNvGraphicFramePr/>
      </xdr:nvGraphicFramePr>
      <xdr:xfrm>
        <a:off x="446400" y="12506400"/>
        <a:ext cx="352404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://baptiste-wicht.net/" TargetMode="Externa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B2:G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R25" activeCellId="0" sqref="R25"/>
    </sheetView>
  </sheetViews>
  <sheetFormatPr defaultColWidth="12.6328125" defaultRowHeight="15.75" customHeight="true" zeroHeight="false" outlineLevelRow="0" outlineLevelCol="0"/>
  <sheetData>
    <row r="2" customFormat="false" ht="15.75" hidden="false" customHeight="false" outlineLevel="0" collapsed="false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</row>
    <row r="3" customFormat="false" ht="15.75" hidden="false" customHeight="false" outlineLevel="0" collapsed="false">
      <c r="B3" s="3" t="n">
        <v>2025</v>
      </c>
      <c r="C3" s="0" t="n">
        <f aca="false">'2025'!O25</f>
        <v>73187.13</v>
      </c>
      <c r="D3" s="0" t="n">
        <f aca="false">'2025'!O28</f>
        <v>148445.44</v>
      </c>
      <c r="E3" s="0" t="n">
        <f aca="false">'2025'!O31</f>
        <v>294161.15</v>
      </c>
      <c r="F3" s="4" t="n">
        <f aca="false">'2025'!O17</f>
        <v>1722322</v>
      </c>
      <c r="G3" s="0" t="n">
        <f aca="false">'2025'!O21</f>
        <v>33.58</v>
      </c>
    </row>
    <row r="4" customFormat="false" ht="15.75" hidden="false" customHeight="false" outlineLevel="0" collapsed="false">
      <c r="B4" s="3" t="n">
        <v>2024</v>
      </c>
      <c r="C4" s="0" t="n">
        <f aca="false">'2024'!O23</f>
        <v>68044</v>
      </c>
      <c r="D4" s="0" t="n">
        <f aca="false">'2024'!O26</f>
        <v>151063</v>
      </c>
      <c r="E4" s="0" t="n">
        <f aca="false">'2024'!O29</f>
        <v>289717</v>
      </c>
      <c r="F4" s="4" t="n">
        <f aca="false">'2024'!O15</f>
        <v>1188636</v>
      </c>
      <c r="G4" s="0" t="n">
        <f aca="false">'2024'!O19</f>
        <v>34.81</v>
      </c>
    </row>
    <row r="5" customFormat="false" ht="15.75" hidden="false" customHeight="false" outlineLevel="0" collapsed="false">
      <c r="B5" s="3" t="n">
        <v>2023</v>
      </c>
      <c r="C5" s="0" t="n">
        <f aca="false">'2023'!O25</f>
        <v>65730</v>
      </c>
      <c r="D5" s="0" t="n">
        <f aca="false">'2023'!O28</f>
        <v>135795</v>
      </c>
      <c r="E5" s="0" t="n">
        <f aca="false">'2023'!O31</f>
        <v>312113</v>
      </c>
      <c r="F5" s="5" t="n">
        <f aca="false">'2023'!N17</f>
        <v>788106</v>
      </c>
      <c r="G5" s="0" t="n">
        <f aca="false">'2023'!N21</f>
        <v>21.81</v>
      </c>
    </row>
    <row r="6" customFormat="false" ht="15.75" hidden="false" customHeight="false" outlineLevel="0" collapsed="false">
      <c r="B6" s="3" t="n">
        <v>2022</v>
      </c>
      <c r="C6" s="0" t="n">
        <f aca="false">'2022'!O35</f>
        <v>60404.21</v>
      </c>
      <c r="D6" s="0" t="n">
        <f aca="false">'2022'!O38</f>
        <v>136317</v>
      </c>
      <c r="E6" s="0" t="n">
        <f aca="false">'2022'!O41</f>
        <v>263221.87</v>
      </c>
      <c r="F6" s="0" t="n">
        <f aca="false">'2022'!O27</f>
        <v>535829.54</v>
      </c>
      <c r="G6" s="0" t="n">
        <f aca="false">'2022'!O31</f>
        <v>12.6</v>
      </c>
    </row>
    <row r="7" customFormat="false" ht="15.75" hidden="false" customHeight="false" outlineLevel="0" collapsed="false">
      <c r="B7" s="3" t="n">
        <v>2021</v>
      </c>
      <c r="C7" s="0" t="n">
        <f aca="false">'2021'!O33</f>
        <v>52227.37</v>
      </c>
      <c r="D7" s="0" t="n">
        <f aca="false">'2021'!O35</f>
        <v>122914.64</v>
      </c>
      <c r="E7" s="0" t="n">
        <f aca="false">'2021'!O37</f>
        <v>214724.63</v>
      </c>
      <c r="F7" s="0" t="n">
        <f aca="false">'2021'!O27</f>
        <v>470254</v>
      </c>
      <c r="G7" s="0" t="n">
        <f aca="false">'2021'!O30</f>
        <v>11.42</v>
      </c>
    </row>
    <row r="8" customFormat="false" ht="15.75" hidden="false" customHeight="false" outlineLevel="0" collapsed="false">
      <c r="B8" s="3" t="n">
        <v>2020</v>
      </c>
      <c r="C8" s="0" t="n">
        <f aca="false">'2020'!O33</f>
        <v>57936</v>
      </c>
      <c r="D8" s="0" t="n">
        <f aca="false">'2020'!O35</f>
        <v>96275</v>
      </c>
      <c r="E8" s="0" t="n">
        <f aca="false">'2020'!O37</f>
        <v>176117</v>
      </c>
      <c r="F8" s="0" t="n">
        <f aca="false">'2020'!O27</f>
        <v>338804</v>
      </c>
      <c r="G8" s="0" t="n">
        <f aca="false">'2020'!O30</f>
        <v>8.03</v>
      </c>
    </row>
    <row r="9" customFormat="false" ht="15.75" hidden="false" customHeight="false" outlineLevel="0" collapsed="false">
      <c r="B9" s="3" t="n">
        <v>2019</v>
      </c>
      <c r="C9" s="0" t="n">
        <f aca="false">'2019'!O33</f>
        <v>56053</v>
      </c>
      <c r="D9" s="0" t="n">
        <f aca="false">'2019'!O35</f>
        <v>63995</v>
      </c>
      <c r="E9" s="0" t="n">
        <f aca="false">'2019'!O37</f>
        <v>137077</v>
      </c>
      <c r="F9" s="0" t="n">
        <f aca="false">'2019'!O27</f>
        <v>231136</v>
      </c>
      <c r="G9" s="0" t="n">
        <f aca="false">'2019'!O30</f>
        <v>15.86</v>
      </c>
    </row>
    <row r="10" customFormat="false" ht="15.75" hidden="false" customHeight="false" outlineLevel="0" collapsed="false">
      <c r="B10" s="3" t="n">
        <v>2018</v>
      </c>
      <c r="C10" s="0" t="n">
        <f aca="false">'2018'!O33</f>
        <v>56763</v>
      </c>
      <c r="D10" s="0" t="n">
        <f aca="false">'2018'!O35</f>
        <v>64108</v>
      </c>
      <c r="E10" s="0" t="n">
        <f aca="false">'2018'!O37</f>
        <v>107286</v>
      </c>
      <c r="F10" s="0" t="n">
        <f aca="false">'2018'!O27</f>
        <v>124777</v>
      </c>
      <c r="G10" s="0" t="n">
        <f aca="false">'2018'!O30</f>
        <v>7.97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3.63"/>
    <col collapsed="false" customWidth="true" hidden="false" outlineLevel="0" max="2" min="2" style="0" width="28.63"/>
    <col collapsed="false" customWidth="true" hidden="false" outlineLevel="0" max="8" min="3" style="0" width="9.38"/>
    <col collapsed="false" customWidth="true" hidden="false" outlineLevel="0" max="9" min="9" style="0" width="12.5"/>
    <col collapsed="false" customWidth="true" hidden="false" outlineLevel="0" max="10" min="10" style="0" width="10.75"/>
    <col collapsed="false" customWidth="true" hidden="false" outlineLevel="0" max="11" min="11" style="0" width="11.25"/>
    <col collapsed="false" customWidth="true" hidden="false" outlineLevel="0" max="12" min="12" style="0" width="9.38"/>
    <col collapsed="false" customWidth="true" hidden="false" outlineLevel="0" max="13" min="13" style="0" width="9.13"/>
    <col collapsed="false" customWidth="true" hidden="false" outlineLevel="0" max="14" min="14" style="0" width="9"/>
    <col collapsed="false" customWidth="true" hidden="false" outlineLevel="0" max="15" min="15" style="0" width="8.38"/>
    <col collapsed="false" customWidth="true" hidden="false" outlineLevel="0" max="16" min="16" style="0" width="12.88"/>
    <col collapsed="false" customWidth="true" hidden="false" outlineLevel="0" max="17" min="17" style="0" width="11.5"/>
  </cols>
  <sheetData>
    <row r="1" customFormat="false" ht="15.75" hidden="false" customHeight="false" outlineLevel="0" collapsed="false">
      <c r="A1" s="50"/>
      <c r="B1" s="50"/>
      <c r="C1" s="50"/>
      <c r="D1" s="50"/>
      <c r="E1" s="50"/>
      <c r="F1" s="50"/>
      <c r="G1" s="50"/>
      <c r="H1" s="50"/>
      <c r="I1" s="50"/>
    </row>
    <row r="2" customFormat="false" ht="15.75" hidden="false" customHeight="false" outlineLevel="0" collapsed="false">
      <c r="A2" s="50"/>
      <c r="B2" s="48" t="s">
        <v>84</v>
      </c>
      <c r="C2" s="49" t="n">
        <v>2017</v>
      </c>
      <c r="D2" s="49" t="s">
        <v>98</v>
      </c>
      <c r="E2" s="49" t="s">
        <v>99</v>
      </c>
      <c r="F2" s="49" t="s">
        <v>100</v>
      </c>
      <c r="G2" s="49" t="s">
        <v>100</v>
      </c>
      <c r="H2" s="49" t="s">
        <v>9</v>
      </c>
      <c r="I2" s="49" t="s">
        <v>11</v>
      </c>
    </row>
    <row r="3" customFormat="false" ht="15.75" hidden="false" customHeight="false" outlineLevel="0" collapsed="false">
      <c r="A3" s="50"/>
      <c r="B3" s="60" t="s">
        <v>12</v>
      </c>
      <c r="C3" s="53"/>
      <c r="D3" s="53"/>
      <c r="E3" s="53"/>
      <c r="F3" s="53"/>
      <c r="G3" s="53"/>
      <c r="H3" s="121" t="s">
        <v>288</v>
      </c>
      <c r="I3" s="53"/>
      <c r="J3" s="83"/>
      <c r="K3" s="2"/>
    </row>
    <row r="4" customFormat="false" ht="16.15" hidden="false" customHeight="false" outlineLevel="0" collapsed="false">
      <c r="A4" s="50"/>
      <c r="B4" s="54" t="s">
        <v>289</v>
      </c>
      <c r="C4" s="54" t="n">
        <v>8000</v>
      </c>
      <c r="D4" s="93" t="s">
        <v>104</v>
      </c>
      <c r="E4" s="93"/>
      <c r="F4" s="93"/>
      <c r="G4" s="93"/>
      <c r="H4" s="54" t="n">
        <f aca="false">C19</f>
        <v>36668</v>
      </c>
      <c r="I4" s="122" t="n">
        <f aca="false">(H4/10000)</f>
        <v>3.6668</v>
      </c>
      <c r="J4" s="83"/>
      <c r="K4" s="2"/>
      <c r="L4" s="2"/>
      <c r="M4" s="2"/>
      <c r="O4" s="123"/>
      <c r="P4" s="123"/>
      <c r="Q4" s="79"/>
    </row>
    <row r="5" customFormat="false" ht="16.15" hidden="false" customHeight="false" outlineLevel="0" collapsed="false">
      <c r="A5" s="50"/>
      <c r="B5" s="54" t="s">
        <v>290</v>
      </c>
      <c r="C5" s="54" t="n">
        <v>4750</v>
      </c>
      <c r="D5" s="93" t="s">
        <v>104</v>
      </c>
      <c r="E5" s="93"/>
      <c r="F5" s="93"/>
      <c r="G5" s="93"/>
      <c r="H5" s="54" t="n">
        <v>5</v>
      </c>
      <c r="I5" s="122" t="n">
        <f aca="false">H5/12</f>
        <v>0.4166666667</v>
      </c>
      <c r="J5" s="83"/>
    </row>
    <row r="6" customFormat="false" ht="16.15" hidden="false" customHeight="false" outlineLevel="0" collapsed="false">
      <c r="A6" s="50"/>
      <c r="B6" s="54" t="s">
        <v>291</v>
      </c>
      <c r="C6" s="54" t="n">
        <v>3000</v>
      </c>
      <c r="D6" s="93" t="s">
        <v>104</v>
      </c>
      <c r="E6" s="93"/>
      <c r="F6" s="93"/>
      <c r="G6" s="93"/>
      <c r="H6" s="54" t="n">
        <f aca="false">C21</f>
        <v>3168</v>
      </c>
      <c r="I6" s="122" t="n">
        <f aca="false">H6/3000</f>
        <v>1.056</v>
      </c>
      <c r="O6" s="123"/>
      <c r="P6" s="123"/>
      <c r="Q6" s="79"/>
    </row>
    <row r="7" customFormat="false" ht="16.15" hidden="false" customHeight="false" outlineLevel="0" collapsed="false">
      <c r="A7" s="50"/>
      <c r="B7" s="54" t="s">
        <v>292</v>
      </c>
      <c r="C7" s="54" t="n">
        <v>50.32</v>
      </c>
      <c r="D7" s="93" t="s">
        <v>104</v>
      </c>
      <c r="E7" s="93"/>
      <c r="F7" s="93"/>
      <c r="G7" s="93"/>
      <c r="H7" s="54" t="e">
        <f aca="false">J46</f>
        <v>#REF!</v>
      </c>
      <c r="I7" s="122" t="e">
        <f aca="false">H7/500</f>
        <v>#REF!</v>
      </c>
      <c r="O7" s="123"/>
      <c r="P7" s="123"/>
      <c r="Q7" s="79"/>
    </row>
    <row r="8" customFormat="false" ht="16.15" hidden="false" customHeight="false" outlineLevel="0" collapsed="false">
      <c r="A8" s="50"/>
      <c r="B8" s="54" t="s">
        <v>293</v>
      </c>
      <c r="C8" s="54" t="n">
        <v>0</v>
      </c>
      <c r="D8" s="100"/>
      <c r="E8" s="93" t="s">
        <v>31</v>
      </c>
      <c r="F8" s="100"/>
      <c r="G8" s="100"/>
      <c r="H8" s="54" t="n">
        <v>0</v>
      </c>
      <c r="I8" s="122" t="n">
        <f aca="false">H8/5</f>
        <v>0</v>
      </c>
    </row>
    <row r="9" customFormat="false" ht="16.15" hidden="false" customHeight="false" outlineLevel="0" collapsed="false">
      <c r="A9" s="50"/>
      <c r="B9" s="54" t="s">
        <v>294</v>
      </c>
      <c r="C9" s="96" t="s">
        <v>42</v>
      </c>
      <c r="D9" s="93" t="s">
        <v>104</v>
      </c>
      <c r="E9" s="93"/>
      <c r="F9" s="93"/>
      <c r="G9" s="93"/>
      <c r="H9" s="54" t="n">
        <v>3</v>
      </c>
      <c r="I9" s="122" t="n">
        <f aca="false">H9/3</f>
        <v>1</v>
      </c>
    </row>
    <row r="10" customFormat="false" ht="15.75" hidden="false" customHeight="false" outlineLevel="0" collapsed="false">
      <c r="A10" s="50"/>
      <c r="B10" s="60" t="s">
        <v>111</v>
      </c>
      <c r="C10" s="53"/>
      <c r="D10" s="53"/>
      <c r="E10" s="53"/>
      <c r="F10" s="53"/>
      <c r="G10" s="53"/>
      <c r="H10" s="53"/>
      <c r="I10" s="124"/>
    </row>
    <row r="11" customFormat="false" ht="16.15" hidden="false" customHeight="false" outlineLevel="0" collapsed="false">
      <c r="A11" s="50"/>
      <c r="B11" s="54" t="s">
        <v>295</v>
      </c>
      <c r="C11" s="54" t="n">
        <v>9</v>
      </c>
      <c r="D11" s="93" t="s">
        <v>104</v>
      </c>
      <c r="E11" s="93"/>
      <c r="F11" s="93"/>
      <c r="G11" s="93"/>
      <c r="H11" s="54" t="n">
        <v>126</v>
      </c>
      <c r="I11" s="122" t="n">
        <f aca="false">H11/24</f>
        <v>5.25</v>
      </c>
      <c r="Q11" s="79"/>
    </row>
    <row r="12" customFormat="false" ht="16.15" hidden="false" customHeight="false" outlineLevel="0" collapsed="false">
      <c r="A12" s="50"/>
      <c r="B12" s="54" t="s">
        <v>296</v>
      </c>
      <c r="C12" s="96" t="s">
        <v>42</v>
      </c>
      <c r="D12" s="100"/>
      <c r="E12" s="100"/>
      <c r="F12" s="93" t="s">
        <v>34</v>
      </c>
      <c r="G12" s="100"/>
      <c r="H12" s="96" t="s">
        <v>221</v>
      </c>
      <c r="I12" s="56" t="n">
        <f aca="false">IF(H12="YES",1,0)</f>
        <v>1</v>
      </c>
      <c r="J12" s="83"/>
    </row>
    <row r="13" customFormat="false" ht="16.15" hidden="false" customHeight="false" outlineLevel="0" collapsed="false">
      <c r="A13" s="50"/>
      <c r="B13" s="54" t="s">
        <v>297</v>
      </c>
      <c r="C13" s="96" t="s">
        <v>42</v>
      </c>
      <c r="D13" s="100"/>
      <c r="E13" s="93" t="s">
        <v>30</v>
      </c>
      <c r="F13" s="100"/>
      <c r="G13" s="100"/>
      <c r="H13" s="96" t="s">
        <v>221</v>
      </c>
      <c r="I13" s="56" t="n">
        <f aca="false">IF(H13="YES",1,0)</f>
        <v>1</v>
      </c>
      <c r="J13" s="83"/>
    </row>
    <row r="14" customFormat="false" ht="15.75" hidden="false" customHeight="false" outlineLevel="0" collapsed="false">
      <c r="A14" s="50"/>
      <c r="B14" s="60" t="s">
        <v>19</v>
      </c>
      <c r="C14" s="125"/>
      <c r="D14" s="53"/>
      <c r="E14" s="53"/>
      <c r="F14" s="53"/>
      <c r="G14" s="53"/>
      <c r="H14" s="125"/>
      <c r="I14" s="126"/>
      <c r="J14" s="83"/>
    </row>
    <row r="15" customFormat="false" ht="16.15" hidden="false" customHeight="false" outlineLevel="0" collapsed="false">
      <c r="A15" s="2"/>
      <c r="B15" s="54" t="s">
        <v>298</v>
      </c>
      <c r="C15" s="96" t="s">
        <v>42</v>
      </c>
      <c r="D15" s="100"/>
      <c r="E15" s="93" t="s">
        <v>32</v>
      </c>
      <c r="F15" s="100"/>
      <c r="G15" s="100"/>
      <c r="H15" s="96" t="n">
        <v>5</v>
      </c>
      <c r="I15" s="56" t="n">
        <f aca="false">H15/5</f>
        <v>1</v>
      </c>
    </row>
    <row r="16" customFormat="false" ht="16.15" hidden="false" customHeight="false" outlineLevel="0" collapsed="false">
      <c r="A16" s="2"/>
      <c r="B16" s="54" t="s">
        <v>299</v>
      </c>
      <c r="C16" s="96" t="s">
        <v>42</v>
      </c>
      <c r="D16" s="93" t="s">
        <v>29</v>
      </c>
      <c r="E16" s="100"/>
      <c r="F16" s="54"/>
      <c r="G16" s="100"/>
      <c r="H16" s="96" t="s">
        <v>221</v>
      </c>
      <c r="I16" s="56" t="n">
        <f aca="false">IF(H16="YES",1,0)</f>
        <v>1</v>
      </c>
    </row>
    <row r="19" customFormat="false" ht="15.75" hidden="false" customHeight="false" outlineLevel="0" collapsed="false">
      <c r="B19" s="83" t="s">
        <v>300</v>
      </c>
      <c r="C19" s="0" t="n">
        <f aca="false">SUM(C20:C21)</f>
        <v>36668</v>
      </c>
    </row>
    <row r="20" customFormat="false" ht="15.75" hidden="false" customHeight="false" outlineLevel="0" collapsed="false">
      <c r="B20" s="83" t="s">
        <v>229</v>
      </c>
      <c r="C20" s="2" t="n">
        <v>33500</v>
      </c>
    </row>
    <row r="21" customFormat="false" ht="15.75" hidden="false" customHeight="false" outlineLevel="0" collapsed="false">
      <c r="B21" s="83" t="s">
        <v>231</v>
      </c>
      <c r="C21" s="2" t="n">
        <v>3168</v>
      </c>
    </row>
    <row r="22" customFormat="false" ht="15.75" hidden="false" customHeight="false" outlineLevel="0" collapsed="false">
      <c r="O22" s="2"/>
      <c r="P22" s="2"/>
    </row>
    <row r="23" customFormat="false" ht="15.75" hidden="false" customHeight="false" outlineLevel="0" collapsed="false">
      <c r="O23" s="2"/>
      <c r="P23" s="2"/>
    </row>
    <row r="24" customFormat="false" ht="15.75" hidden="false" customHeight="false" outlineLevel="0" collapsed="false">
      <c r="O24" s="2"/>
      <c r="P24" s="2"/>
    </row>
    <row r="25" customFormat="false" ht="22.05" hidden="false" customHeight="false" outlineLevel="0" collapsed="false">
      <c r="B25" s="81" t="s">
        <v>26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</row>
    <row r="26" customFormat="false" ht="15.75" hidden="false" customHeight="false" outlineLevel="0" collapsed="false">
      <c r="B26" s="1"/>
      <c r="C26" s="65" t="s">
        <v>27</v>
      </c>
      <c r="D26" s="65" t="s">
        <v>28</v>
      </c>
      <c r="E26" s="65" t="s">
        <v>29</v>
      </c>
      <c r="F26" s="65" t="s">
        <v>30</v>
      </c>
      <c r="G26" s="65" t="s">
        <v>31</v>
      </c>
      <c r="H26" s="65" t="s">
        <v>32</v>
      </c>
      <c r="I26" s="65" t="s">
        <v>33</v>
      </c>
      <c r="J26" s="65" t="s">
        <v>34</v>
      </c>
      <c r="K26" s="65" t="s">
        <v>35</v>
      </c>
      <c r="L26" s="65" t="s">
        <v>36</v>
      </c>
      <c r="M26" s="65" t="s">
        <v>37</v>
      </c>
      <c r="N26" s="65" t="s">
        <v>38</v>
      </c>
      <c r="O26" s="65" t="s">
        <v>39</v>
      </c>
      <c r="P26" s="66" t="s">
        <v>40</v>
      </c>
      <c r="Q26" s="66" t="s">
        <v>41</v>
      </c>
    </row>
    <row r="27" customFormat="false" ht="15.75" hidden="false" customHeight="false" outlineLevel="0" collapsed="false">
      <c r="B27" s="67" t="s">
        <v>4</v>
      </c>
      <c r="C27" s="74" t="n">
        <v>86563</v>
      </c>
      <c r="D27" s="74" t="n">
        <v>88258</v>
      </c>
      <c r="E27" s="74" t="n">
        <v>85836</v>
      </c>
      <c r="F27" s="74" t="n">
        <v>88944</v>
      </c>
      <c r="G27" s="74" t="n">
        <v>101333</v>
      </c>
      <c r="H27" s="74" t="n">
        <v>104621</v>
      </c>
      <c r="I27" s="74" t="n">
        <v>114338</v>
      </c>
      <c r="J27" s="74" t="n">
        <v>118318</v>
      </c>
      <c r="K27" s="74" t="n">
        <v>120816</v>
      </c>
      <c r="L27" s="74" t="n">
        <v>122176</v>
      </c>
      <c r="M27" s="2" t="n">
        <v>125558</v>
      </c>
      <c r="N27" s="2" t="n">
        <v>124777</v>
      </c>
      <c r="O27" s="2" t="n">
        <f aca="false">IFERROR(LOOKUP(9^9,C27:N27),"")</f>
        <v>124777</v>
      </c>
      <c r="P27" s="2" t="s">
        <v>42</v>
      </c>
      <c r="Q27" s="2" t="s">
        <v>42</v>
      </c>
    </row>
    <row r="28" customFormat="false" ht="15.75" hidden="false" customHeight="false" outlineLevel="0" collapsed="false">
      <c r="B28" s="69" t="s">
        <v>43</v>
      </c>
      <c r="C28" s="69"/>
      <c r="D28" s="104" t="n">
        <f aca="false">IF(D27&gt;0,D27-C27,"")</f>
        <v>1695</v>
      </c>
      <c r="E28" s="104" t="n">
        <f aca="false">IF(E27&gt;0,E27-D27,"")</f>
        <v>-2422</v>
      </c>
      <c r="F28" s="104" t="n">
        <f aca="false">IF(F27&gt;0,F27-E27,"")</f>
        <v>3108</v>
      </c>
      <c r="G28" s="104" t="n">
        <f aca="false">IF(G27&gt;0,G27-F27,"")</f>
        <v>12389</v>
      </c>
      <c r="H28" s="104" t="n">
        <f aca="false">IF(H27&gt;0,H27-G27,"")</f>
        <v>3288</v>
      </c>
      <c r="I28" s="104" t="n">
        <f aca="false">IF(I27&gt;0,I27-H27,"")</f>
        <v>9717</v>
      </c>
      <c r="J28" s="104" t="n">
        <f aca="false">IF(J27&gt;0,J27-I27,"")</f>
        <v>3980</v>
      </c>
      <c r="K28" s="104" t="n">
        <f aca="false">IF(K27&gt;0,K27-J27,"")</f>
        <v>2498</v>
      </c>
      <c r="L28" s="104" t="n">
        <f aca="false">IF(L27&gt;0,L27-K27,"")</f>
        <v>1360</v>
      </c>
      <c r="M28" s="104" t="n">
        <f aca="false">IF(M27&gt;0,M27-L27,"")</f>
        <v>3382</v>
      </c>
      <c r="N28" s="69" t="n">
        <f aca="false">IF(N27&gt;0,N27-M27,"")</f>
        <v>-781</v>
      </c>
      <c r="O28" s="71" t="n">
        <f aca="false">SUM(C28:N28)</f>
        <v>38214</v>
      </c>
      <c r="P28" s="71" t="n">
        <f aca="false">AVERAGE(C28:N28)</f>
        <v>3474</v>
      </c>
      <c r="Q28" s="71" t="n">
        <f aca="false">MEDIAN(C28:N28)</f>
        <v>3108</v>
      </c>
    </row>
    <row r="29" customFormat="false" ht="15.75" hidden="false" customHeight="false" outlineLevel="0" collapsed="false">
      <c r="B29" s="69" t="s">
        <v>44</v>
      </c>
      <c r="C29" s="69"/>
      <c r="D29" s="72" t="n">
        <f aca="false">IF(D27&gt;0,(D27-C27)/C27,"")</f>
        <v>0.0195811143329136</v>
      </c>
      <c r="E29" s="72" t="n">
        <f aca="false">IF(E27&gt;0,(E27-D27)/D27,"")</f>
        <v>-0.0274422715221283</v>
      </c>
      <c r="F29" s="72" t="n">
        <f aca="false">IF(F27&gt;0,(F27-E27)/E27,"")</f>
        <v>0.0362085838109884</v>
      </c>
      <c r="G29" s="72" t="n">
        <f aca="false">IF(G27&gt;0,(G27-F27)/F27,"")</f>
        <v>0.139289890268034</v>
      </c>
      <c r="H29" s="72" t="n">
        <f aca="false">IF(H27&gt;0,(H27-G27)/G27,"")</f>
        <v>0.0324474751561683</v>
      </c>
      <c r="I29" s="72" t="n">
        <f aca="false">IF(I27&gt;0,(I27-H27)/H27,"")</f>
        <v>0.0928781028665373</v>
      </c>
      <c r="J29" s="72" t="n">
        <f aca="false">IF(J27&gt;0,(J27-I27)/I27,"")</f>
        <v>0.0348090748482569</v>
      </c>
      <c r="K29" s="72" t="n">
        <f aca="false">IF(K27&gt;0,(K27-J27)/J27,"")</f>
        <v>0.0211125948714481</v>
      </c>
      <c r="L29" s="72" t="n">
        <f aca="false">IF(L27&gt;0,(L27-K27)/K27,"")</f>
        <v>0.0112567871805059</v>
      </c>
      <c r="M29" s="72" t="n">
        <f aca="false">IF(M27&gt;0,(M27-L27)/L27,"")</f>
        <v>0.0276813776846517</v>
      </c>
      <c r="N29" s="72" t="n">
        <f aca="false">IF(N27&gt;0,(N27-M27)/M27,"")</f>
        <v>-0.0062202328804218</v>
      </c>
      <c r="O29" s="69" t="s">
        <v>42</v>
      </c>
      <c r="P29" s="72" t="n">
        <f aca="false">AVERAGE(C29:N29)</f>
        <v>0.0346911360560867</v>
      </c>
      <c r="Q29" s="72" t="n">
        <f aca="false">MEDIAN(C29:N29)</f>
        <v>0.0276813776846517</v>
      </c>
    </row>
    <row r="30" customFormat="false" ht="15.75" hidden="false" customHeight="false" outlineLevel="0" collapsed="false">
      <c r="B30" s="67" t="s">
        <v>5</v>
      </c>
      <c r="C30" s="2" t="n">
        <v>6.54</v>
      </c>
      <c r="D30" s="2" t="n">
        <v>6.74</v>
      </c>
      <c r="E30" s="2" t="n">
        <v>6.35</v>
      </c>
      <c r="F30" s="2" t="n">
        <v>6.62</v>
      </c>
      <c r="G30" s="2" t="n">
        <v>7.73</v>
      </c>
      <c r="H30" s="2" t="n">
        <v>7.71</v>
      </c>
      <c r="I30" s="2" t="n">
        <v>8.5</v>
      </c>
      <c r="J30" s="74" t="n">
        <v>8.8</v>
      </c>
      <c r="K30" s="74" t="n">
        <v>8</v>
      </c>
      <c r="L30" s="74" t="n">
        <v>7.9</v>
      </c>
      <c r="M30" s="2" t="n">
        <v>8.13</v>
      </c>
      <c r="N30" s="2" t="n">
        <v>7.97</v>
      </c>
      <c r="O30" s="3" t="n">
        <f aca="false">IFERROR(LOOKUP(9^9,C30:N30),"")</f>
        <v>7.97</v>
      </c>
      <c r="P30" s="3" t="n">
        <f aca="false">AVERAGE(C30:N30)</f>
        <v>7.5825</v>
      </c>
      <c r="Q30" s="3" t="n">
        <f aca="false">MEDIAN(C30:N30)</f>
        <v>7.815</v>
      </c>
    </row>
    <row r="31" customFormat="false" ht="15.75" hidden="false" customHeight="false" outlineLevel="0" collapsed="false">
      <c r="B31" s="69" t="s">
        <v>46</v>
      </c>
      <c r="C31" s="75"/>
      <c r="D31" s="75" t="n">
        <f aca="false">IF(D30&gt;0,D30-C30,"")</f>
        <v>0.2</v>
      </c>
      <c r="E31" s="75" t="n">
        <f aca="false">IF(E30&gt;0,E30-D30,"")</f>
        <v>-0.390000000000001</v>
      </c>
      <c r="F31" s="75" t="n">
        <f aca="false">IF(F30&gt;0,F30-E30,"")</f>
        <v>0.27</v>
      </c>
      <c r="G31" s="75" t="n">
        <f aca="false">IF(G30&gt;0,G30-F30,"")</f>
        <v>1.11</v>
      </c>
      <c r="H31" s="75" t="n">
        <f aca="false">IF(H30&gt;0,H30-G30,"")</f>
        <v>-0.0200000000000005</v>
      </c>
      <c r="I31" s="75" t="n">
        <f aca="false">IF(I30&gt;0,I30-H30,"")</f>
        <v>0.79</v>
      </c>
      <c r="J31" s="71" t="n">
        <f aca="false">IF(J30&gt;0,J30-I30,"")</f>
        <v>0.300000000000001</v>
      </c>
      <c r="K31" s="71" t="n">
        <f aca="false">IF(K30&gt;0,K30-J30,"")</f>
        <v>-0.800000000000001</v>
      </c>
      <c r="L31" s="71" t="n">
        <f aca="false">IF(L30&gt;0,L30-K30,"")</f>
        <v>-0.0999999999999996</v>
      </c>
      <c r="M31" s="71" t="n">
        <f aca="false">IF(M30&gt;0,M30-L30,"")</f>
        <v>0.23</v>
      </c>
      <c r="N31" s="75" t="n">
        <f aca="false">IF(N30&gt;0,N30-M30,"")</f>
        <v>-0.160000000000001</v>
      </c>
      <c r="O31" s="69" t="n">
        <f aca="false">SUM(C31:N31)</f>
        <v>1.43</v>
      </c>
      <c r="P31" s="69" t="n">
        <f aca="false">AVERAGE(C31:N31)</f>
        <v>0.13</v>
      </c>
      <c r="Q31" s="69" t="n">
        <f aca="false">MEDIAN(C31:N31)</f>
        <v>0.2</v>
      </c>
    </row>
    <row r="32" customFormat="false" ht="15.75" hidden="false" customHeight="false" outlineLevel="0" collapsed="false">
      <c r="B32" s="69" t="s">
        <v>44</v>
      </c>
      <c r="C32" s="75"/>
      <c r="D32" s="76" t="n">
        <f aca="false">IF(D30&gt;0,(D30-C30)/C30,"")</f>
        <v>0.0305810397553517</v>
      </c>
      <c r="E32" s="76" t="n">
        <f aca="false">IF(E30&gt;0,(E30-D30)/D30,"")</f>
        <v>-0.0578635014836796</v>
      </c>
      <c r="F32" s="76" t="n">
        <f aca="false">IF(F30&gt;0,(F30-E30)/E30,"")</f>
        <v>0.0425196850393702</v>
      </c>
      <c r="G32" s="76" t="n">
        <f aca="false">IF(G30&gt;0,(G30-F30)/F30,"")</f>
        <v>0.167673716012085</v>
      </c>
      <c r="H32" s="76" t="n">
        <f aca="false">IF(H30&gt;0,(H30-G30)/G30,"")</f>
        <v>-0.0025873221216042</v>
      </c>
      <c r="I32" s="76" t="n">
        <f aca="false">IF(I30&gt;0,(I30-H30)/H30,"")</f>
        <v>0.102464332036316</v>
      </c>
      <c r="J32" s="76" t="n">
        <f aca="false">IF(J30&gt;0,(J30-I30)/I30,"")</f>
        <v>0.0352941176470589</v>
      </c>
      <c r="K32" s="76" t="n">
        <f aca="false">IF(K30&gt;0,(K30-J30)/J30,"")</f>
        <v>-0.090909090909091</v>
      </c>
      <c r="L32" s="76" t="n">
        <f aca="false">IF(L30&gt;0,(L30-K30)/K30,"")</f>
        <v>-0.0125</v>
      </c>
      <c r="M32" s="76" t="n">
        <f aca="false">IF(M30&gt;0,(M30-L30)/L30,"")</f>
        <v>0.029113924050633</v>
      </c>
      <c r="N32" s="76" t="n">
        <f aca="false">IF(N30&gt;0,(N30-M30)/M30,"")</f>
        <v>-0.0196801968019681</v>
      </c>
      <c r="O32" s="69" t="s">
        <v>42</v>
      </c>
      <c r="P32" s="72" t="n">
        <f aca="false">AVERAGE(C32:N32)</f>
        <v>0.0203733366567702</v>
      </c>
      <c r="Q32" s="72" t="n">
        <f aca="false">MEDIAN(C32:N32)</f>
        <v>0.029113924050633</v>
      </c>
    </row>
    <row r="33" customFormat="false" ht="15.75" hidden="false" customHeight="false" outlineLevel="0" collapsed="false">
      <c r="B33" s="2" t="s">
        <v>1</v>
      </c>
      <c r="C33" s="2" t="n">
        <v>3073</v>
      </c>
      <c r="D33" s="2" t="n">
        <v>5350</v>
      </c>
      <c r="E33" s="2" t="n">
        <v>2869</v>
      </c>
      <c r="F33" s="2" t="n">
        <v>3206</v>
      </c>
      <c r="G33" s="2" t="n">
        <v>5986</v>
      </c>
      <c r="H33" s="2" t="n">
        <v>5218</v>
      </c>
      <c r="I33" s="74" t="n">
        <v>3561</v>
      </c>
      <c r="J33" s="74" t="n">
        <v>10215</v>
      </c>
      <c r="K33" s="74" t="n">
        <v>5538</v>
      </c>
      <c r="L33" s="74" t="n">
        <v>3450</v>
      </c>
      <c r="M33" s="74" t="n">
        <v>4342</v>
      </c>
      <c r="N33" s="2" t="n">
        <v>3955</v>
      </c>
      <c r="O33" s="0" t="n">
        <f aca="false">SUM(C33:N33)</f>
        <v>56763</v>
      </c>
      <c r="P33" s="0" t="n">
        <f aca="false">AVERAGE(C33:N33)</f>
        <v>4730.25</v>
      </c>
      <c r="Q33" s="0" t="n">
        <f aca="false">MEDIAN(C33:N33)</f>
        <v>4148.5</v>
      </c>
    </row>
    <row r="34" customFormat="false" ht="15.75" hidden="false" customHeight="false" outlineLevel="0" collapsed="false">
      <c r="B34" s="69" t="s">
        <v>44</v>
      </c>
      <c r="C34" s="80"/>
      <c r="D34" s="78" t="n">
        <f aca="false">IF(D33&gt;0,(D33-C33)/C33,"")</f>
        <v>0.740969736413928</v>
      </c>
      <c r="E34" s="78" t="n">
        <f aca="false">IF(E33&gt;0,(E33-D33)/D33,"")</f>
        <v>-0.463738317757009</v>
      </c>
      <c r="F34" s="78" t="n">
        <f aca="false">IF(F33&gt;0,(F33-E33)/E33,"")</f>
        <v>0.117462530498432</v>
      </c>
      <c r="G34" s="78" t="n">
        <f aca="false">IF(G33&gt;0,(G33-F33)/F33,"")</f>
        <v>0.867124142233313</v>
      </c>
      <c r="H34" s="78" t="n">
        <f aca="false">IF(H33&gt;0,(H33-G33)/G33,"")</f>
        <v>-0.128299365185433</v>
      </c>
      <c r="I34" s="78" t="n">
        <f aca="false">IF(I33&gt;0,(I33-H33)/H33,"")</f>
        <v>-0.317554618627827</v>
      </c>
      <c r="J34" s="78" t="n">
        <f aca="false">IF(J33&gt;0,(J33-I33)/I33,"")</f>
        <v>1.86857624262848</v>
      </c>
      <c r="K34" s="78" t="n">
        <f aca="false">IF(K33&gt;0,(K33-J33)/J33,"")</f>
        <v>-0.457856093979442</v>
      </c>
      <c r="L34" s="78" t="n">
        <f aca="false">IF(L33&gt;0,(L33-K33)/K33,"")</f>
        <v>-0.37703141928494</v>
      </c>
      <c r="M34" s="78" t="n">
        <f aca="false">IF(M33&gt;0,(M33-L33)/L33,"")</f>
        <v>0.258550724637681</v>
      </c>
      <c r="N34" s="78" t="n">
        <f aca="false">IF(N33&gt;0,(N33-M33)/M33,"")</f>
        <v>-0.0891294334408107</v>
      </c>
      <c r="O34" s="78" t="n">
        <f aca="false">SUM(C34:N34)</f>
        <v>2.01907412813637</v>
      </c>
      <c r="P34" s="78" t="n">
        <f aca="false">AVERAGE(C34:N34)</f>
        <v>0.183552193466942</v>
      </c>
      <c r="Q34" s="78" t="n">
        <f aca="false">MEDIAN(C34:N34)</f>
        <v>-0.0891294334408107</v>
      </c>
    </row>
    <row r="35" customFormat="false" ht="15.75" hidden="false" customHeight="false" outlineLevel="0" collapsed="false">
      <c r="B35" s="2" t="s">
        <v>2</v>
      </c>
      <c r="C35" s="2" t="n">
        <v>3778</v>
      </c>
      <c r="D35" s="2" t="n">
        <v>5707</v>
      </c>
      <c r="E35" s="2" t="n">
        <v>3272</v>
      </c>
      <c r="F35" s="2" t="n">
        <v>3206</v>
      </c>
      <c r="G35" s="2" t="n">
        <v>6757</v>
      </c>
      <c r="H35" s="2" t="n">
        <v>5964</v>
      </c>
      <c r="I35" s="2" t="n">
        <v>4307</v>
      </c>
      <c r="J35" s="2" t="n">
        <v>10970</v>
      </c>
      <c r="K35" s="2" t="n">
        <v>6233</v>
      </c>
      <c r="L35" s="2" t="n">
        <v>4145</v>
      </c>
      <c r="M35" s="2" t="n">
        <v>5120</v>
      </c>
      <c r="N35" s="2" t="n">
        <v>4649</v>
      </c>
      <c r="O35" s="0" t="n">
        <f aca="false">SUM(C35:N35)</f>
        <v>64108</v>
      </c>
      <c r="P35" s="0" t="n">
        <f aca="false">AVERAGE(C35:N35)</f>
        <v>5342.33333333333</v>
      </c>
      <c r="Q35" s="0" t="n">
        <f aca="false">MEDIAN(C35:N35)</f>
        <v>4884.5</v>
      </c>
    </row>
    <row r="36" customFormat="false" ht="15.75" hidden="false" customHeight="false" outlineLevel="0" collapsed="false">
      <c r="B36" s="69" t="s">
        <v>44</v>
      </c>
      <c r="C36" s="80"/>
      <c r="D36" s="78" t="n">
        <f aca="false">IF(D35&gt;0,(D35-C35)/C35,"")</f>
        <v>0.510587612493383</v>
      </c>
      <c r="E36" s="78" t="n">
        <f aca="false">IF(E35&gt;0,(E35-D35)/D35,"")</f>
        <v>-0.426669002978798</v>
      </c>
      <c r="F36" s="78" t="n">
        <f aca="false">IF(F35&gt;0,(F35-E35)/E35,"")</f>
        <v>-0.0201711491442543</v>
      </c>
      <c r="G36" s="78" t="n">
        <f aca="false">IF(G35&gt;0,(G35-F35)/F35,"")</f>
        <v>1.10761072988147</v>
      </c>
      <c r="H36" s="78" t="n">
        <f aca="false">IF(H35&gt;0,(H35-G35)/G35,"")</f>
        <v>-0.117359775048098</v>
      </c>
      <c r="I36" s="78" t="n">
        <f aca="false">IF(I35&gt;0,(I35-H35)/H35,"")</f>
        <v>-0.277833668678739</v>
      </c>
      <c r="J36" s="78" t="n">
        <f aca="false">IF(J35&gt;0,(J35-I35)/I35,"")</f>
        <v>1.5470164847922</v>
      </c>
      <c r="K36" s="78" t="n">
        <f aca="false">IF(K35&gt;0,(K35-J35)/J35,"")</f>
        <v>-0.431814038286235</v>
      </c>
      <c r="L36" s="78" t="n">
        <f aca="false">IF(L35&gt;0,(L35-K35)/K35,"")</f>
        <v>-0.334991175998717</v>
      </c>
      <c r="M36" s="78" t="n">
        <f aca="false">IF(M35&gt;0,(M35-L35)/L35,"")</f>
        <v>0.235223160434258</v>
      </c>
      <c r="N36" s="78" t="n">
        <f aca="false">IF(N35&gt;0,(N35-M35)/M35,"")</f>
        <v>-0.0919921875</v>
      </c>
      <c r="O36" s="78" t="n">
        <f aca="false">SUM(C36:N36)</f>
        <v>1.69960698996647</v>
      </c>
      <c r="P36" s="78" t="n">
        <f aca="false">AVERAGE(C36:N36)</f>
        <v>0.154509726360588</v>
      </c>
      <c r="Q36" s="78" t="n">
        <f aca="false">MEDIAN(C36:N36)</f>
        <v>-0.0919921875</v>
      </c>
    </row>
    <row r="37" customFormat="false" ht="15.75" hidden="false" customHeight="false" outlineLevel="0" collapsed="false">
      <c r="B37" s="2" t="s">
        <v>3</v>
      </c>
      <c r="C37" s="2" t="n">
        <v>5700</v>
      </c>
      <c r="D37" s="2" t="n">
        <v>5950</v>
      </c>
      <c r="E37" s="2" t="n">
        <v>6100</v>
      </c>
      <c r="F37" s="2" t="n">
        <v>7505</v>
      </c>
      <c r="G37" s="2" t="n">
        <v>13396</v>
      </c>
      <c r="H37" s="2" t="n">
        <v>9426</v>
      </c>
      <c r="I37" s="127" t="n">
        <v>9257</v>
      </c>
      <c r="J37" s="2" t="n">
        <v>12990</v>
      </c>
      <c r="K37" s="74" t="n">
        <v>9118</v>
      </c>
      <c r="L37" s="74" t="n">
        <v>9201</v>
      </c>
      <c r="M37" s="74" t="n">
        <v>9413</v>
      </c>
      <c r="N37" s="2" t="n">
        <v>9230</v>
      </c>
      <c r="O37" s="0" t="n">
        <f aca="false">SUM(C37:N37)</f>
        <v>107286</v>
      </c>
      <c r="P37" s="0" t="n">
        <f aca="false">AVERAGE(C37:N37)</f>
        <v>8940.5</v>
      </c>
      <c r="Q37" s="0" t="n">
        <f aca="false">MEDIAN(C37:N37)</f>
        <v>9215.5</v>
      </c>
    </row>
    <row r="38" customFormat="false" ht="15.75" hidden="false" customHeight="false" outlineLevel="0" collapsed="false">
      <c r="B38" s="69" t="s">
        <v>44</v>
      </c>
      <c r="C38" s="80"/>
      <c r="D38" s="78" t="n">
        <f aca="false">IF(D37&gt;0,(D37-C37)/C37,"")</f>
        <v>0.043859649122807</v>
      </c>
      <c r="E38" s="78" t="n">
        <f aca="false">IF(E37&gt;0,(E37-D37)/D37,"")</f>
        <v>0.0252100840336134</v>
      </c>
      <c r="F38" s="78" t="n">
        <f aca="false">IF(F37&gt;0,(F37-E37)/E37,"")</f>
        <v>0.230327868852459</v>
      </c>
      <c r="G38" s="78" t="n">
        <f aca="false">IF(G37&gt;0,(G37-F37)/F37,"")</f>
        <v>0.784943371085943</v>
      </c>
      <c r="H38" s="78" t="n">
        <f aca="false">IF(H37&gt;0,(H37-G37)/G37,"")</f>
        <v>-0.296357121528815</v>
      </c>
      <c r="I38" s="78" t="n">
        <f aca="false">IF(I37&gt;0,(I37-H37)/H37,"")</f>
        <v>-0.0179291321875663</v>
      </c>
      <c r="J38" s="78" t="n">
        <f aca="false">IF(J37&gt;0,(J37-I37)/I37,"")</f>
        <v>0.40326239602463</v>
      </c>
      <c r="K38" s="78" t="n">
        <f aca="false">IF(K37&gt;0,(K37-J37)/J37,"")</f>
        <v>-0.298075442648191</v>
      </c>
      <c r="L38" s="78" t="n">
        <f aca="false">IF(L37&gt;0,(L37-K37)/K37,"")</f>
        <v>0.00910287343715727</v>
      </c>
      <c r="M38" s="78" t="n">
        <f aca="false">IF(M37&gt;0,(M37-L37)/L37,"")</f>
        <v>0.0230409738071949</v>
      </c>
      <c r="N38" s="78" t="n">
        <f aca="false">IF(N37&gt;0,(N37-M37)/M37,"")</f>
        <v>-0.0194411983427175</v>
      </c>
      <c r="O38" s="78" t="n">
        <f aca="false">SUM(C38:N38)</f>
        <v>0.887944321656515</v>
      </c>
      <c r="P38" s="78" t="n">
        <f aca="false">AVERAGE(C38:N38)</f>
        <v>0.0807222110596832</v>
      </c>
      <c r="Q38" s="78" t="n">
        <f aca="false">MEDIAN(C38:N38)</f>
        <v>0.0230409738071949</v>
      </c>
    </row>
    <row r="39" customFormat="false" ht="15.75" hidden="false" customHeight="false" outlineLevel="0" collapsed="false">
      <c r="B39" s="2" t="s">
        <v>47</v>
      </c>
      <c r="C39" s="79" t="n">
        <f aca="false">IF(C35&gt;0,MAX(0,(C37-C35)/C37),"")</f>
        <v>0.33719298245614</v>
      </c>
      <c r="D39" s="79" t="n">
        <f aca="false">IF(D35&gt;0,MAX(0,(D37-D35)/D37),"")</f>
        <v>0.0408403361344538</v>
      </c>
      <c r="E39" s="79" t="n">
        <f aca="false">IF(E35&gt;0,MAX(0,(E37-E35)/E37),"")</f>
        <v>0.463606557377049</v>
      </c>
      <c r="F39" s="79" t="n">
        <f aca="false">IF(F35&gt;0,MAX(0,(F37-F35)/F37),"")</f>
        <v>0.572818121252498</v>
      </c>
      <c r="G39" s="79" t="n">
        <f aca="false">IF(G35&gt;0,MAX(0,(G37-G35)/G37),"")</f>
        <v>0.495595700209018</v>
      </c>
      <c r="H39" s="79" t="n">
        <f aca="false">IF(H35&gt;0,MAX(0,(H37-H35)/H37),"")</f>
        <v>0.367281985996181</v>
      </c>
      <c r="I39" s="79" t="n">
        <f aca="false">IF(I35&gt;0,MAX(0,(I37-I35)/I37),"")</f>
        <v>0.534730474235714</v>
      </c>
      <c r="J39" s="79" t="n">
        <f aca="false">IF(J35&gt;0,MAX(0,(J37-J35)/J37),"")</f>
        <v>0.155504234026174</v>
      </c>
      <c r="K39" s="79" t="n">
        <f aca="false">IF(K35&gt;0,MAX(0,(K37-K35)/K37),"")</f>
        <v>0.316407106821671</v>
      </c>
      <c r="L39" s="79" t="n">
        <f aca="false">IF(L35&gt;0,MAX(0,(L37-L35)/L37),"")</f>
        <v>0.549505488533855</v>
      </c>
      <c r="M39" s="79" t="n">
        <f aca="false">IF(M35&gt;0,MAX(0,(M37-M35)/M37),"")</f>
        <v>0.45607139062998</v>
      </c>
      <c r="N39" s="79" t="n">
        <f aca="false">IF(N35&gt;0,MAX(0,(N37-N35)/N37),"")</f>
        <v>0.496316359696641</v>
      </c>
      <c r="O39" s="79" t="n">
        <f aca="false">IF(O35&gt;0,MAX(0,(O37-O35)/O37),"")</f>
        <v>0.402456984135861</v>
      </c>
      <c r="P39" s="79" t="n">
        <f aca="false">AVERAGE(C39:N39)</f>
        <v>0.398822561447448</v>
      </c>
      <c r="Q39" s="79" t="n">
        <f aca="false">MEDIAN(C39:N39)</f>
        <v>0.459838974003515</v>
      </c>
    </row>
    <row r="40" customFormat="false" ht="15.75" hidden="false" customHeight="false" outlineLevel="0" collapsed="false">
      <c r="B40" s="69" t="s">
        <v>44</v>
      </c>
      <c r="C40" s="80"/>
      <c r="D40" s="91" t="n">
        <f aca="false">IF(ISBLANK(D35),"",IF(C39=0,100,(D39-C39)/C39))</f>
        <v>-0.878881417291162</v>
      </c>
      <c r="E40" s="91" t="n">
        <f aca="false">IF(ISBLANK(E35),"",IF(D39=0,100,(E39-D39)/D39))</f>
        <v>10.3516831950347</v>
      </c>
      <c r="F40" s="91" t="n">
        <f aca="false">IF(ISBLANK(F35),"",IF(E39=0,100,(F39-E39)/E39))</f>
        <v>0.235569497751146</v>
      </c>
      <c r="G40" s="91" t="n">
        <f aca="false">IF(ISBLANK(G35),"",IF(F39=0,100,(G39-F39)/F39))</f>
        <v>-0.134811414266416</v>
      </c>
      <c r="H40" s="91" t="n">
        <f aca="false">IF(ISBLANK(H35),"",IF(G39=0,100,(H39-G39)/G39))</f>
        <v>-0.25890804572905</v>
      </c>
      <c r="I40" s="91" t="n">
        <f aca="false">IF(ISBLANK(I35),"",IF(H39=0,100,(I39-H39)/H39))</f>
        <v>0.455912608361015</v>
      </c>
      <c r="J40" s="91" t="n">
        <f aca="false">IF(ISBLANK(J35),"",IF(I39=0,100,(J39-I39)/I39))</f>
        <v>-0.709191374872668</v>
      </c>
      <c r="K40" s="91" t="n">
        <f aca="false">IF(ISBLANK(K35),"",IF(J39=0,100,(K39-J39)/J39))</f>
        <v>1.03471698891758</v>
      </c>
      <c r="L40" s="91" t="n">
        <f aca="false">IF(ISBLANK(L35),"",IF(K39=0,100,(L39-K39)/K39))</f>
        <v>0.736704001543047</v>
      </c>
      <c r="M40" s="91" t="n">
        <f aca="false">IF(ISBLANK(M35),"",IF(L39=0,100,(M39-L39)/L39))</f>
        <v>-0.170033056727365</v>
      </c>
      <c r="N40" s="91" t="n">
        <f aca="false">IF(ISBLANK(N35),"",IF(M39=0,100,(N39-M39)/M39))</f>
        <v>0.0882426959758876</v>
      </c>
      <c r="O40" s="73" t="s">
        <v>42</v>
      </c>
      <c r="P40" s="78" t="n">
        <f aca="false">AVERAGE(C40:N40)</f>
        <v>0.977363970790615</v>
      </c>
      <c r="Q40" s="78" t="n">
        <f aca="false">MEDIAN(C40:N40)</f>
        <v>0.0882426959758876</v>
      </c>
    </row>
    <row r="46" customFormat="false" ht="15.75" hidden="false" customHeight="false" outlineLevel="0" collapsed="false">
      <c r="I46" s="108" t="s">
        <v>301</v>
      </c>
      <c r="J46" s="120" t="e">
        <f aca="false">SUM(#REF!)</f>
        <v>#REF!</v>
      </c>
    </row>
    <row r="47" customFormat="false" ht="15.75" hidden="false" customHeight="false" outlineLevel="0" collapsed="false">
      <c r="I47" s="2" t="s">
        <v>302</v>
      </c>
      <c r="J47" s="2" t="n">
        <v>4.15</v>
      </c>
      <c r="K47" s="2" t="s">
        <v>303</v>
      </c>
    </row>
    <row r="48" customFormat="false" ht="15.75" hidden="false" customHeight="false" outlineLevel="0" collapsed="false">
      <c r="I48" s="2" t="s">
        <v>304</v>
      </c>
      <c r="J48" s="2" t="n">
        <v>3.16</v>
      </c>
      <c r="K48" s="2" t="s">
        <v>305</v>
      </c>
    </row>
    <row r="49" customFormat="false" ht="15.75" hidden="false" customHeight="false" outlineLevel="0" collapsed="false">
      <c r="I49" s="2" t="s">
        <v>304</v>
      </c>
      <c r="J49" s="2" t="n">
        <v>3</v>
      </c>
      <c r="K49" s="2" t="s">
        <v>306</v>
      </c>
    </row>
    <row r="50" customFormat="false" ht="15.75" hidden="false" customHeight="false" outlineLevel="0" collapsed="false">
      <c r="I50" s="2" t="s">
        <v>307</v>
      </c>
      <c r="J50" s="2" t="n">
        <v>1.74</v>
      </c>
      <c r="K50" s="2" t="s">
        <v>308</v>
      </c>
    </row>
    <row r="51" customFormat="false" ht="15.75" hidden="false" customHeight="false" outlineLevel="0" collapsed="false">
      <c r="I51" s="2" t="s">
        <v>309</v>
      </c>
      <c r="J51" s="2" t="n">
        <v>1.08</v>
      </c>
      <c r="K51" s="2" t="s">
        <v>310</v>
      </c>
    </row>
    <row r="52" customFormat="false" ht="15.75" hidden="false" customHeight="false" outlineLevel="0" collapsed="false">
      <c r="I52" s="2" t="s">
        <v>311</v>
      </c>
      <c r="J52" s="2" t="n">
        <v>4.18</v>
      </c>
      <c r="K52" s="2" t="s">
        <v>310</v>
      </c>
    </row>
    <row r="53" customFormat="false" ht="15.75" hidden="false" customHeight="false" outlineLevel="0" collapsed="false">
      <c r="I53" s="2" t="s">
        <v>312</v>
      </c>
      <c r="J53" s="2" t="n">
        <v>32.93</v>
      </c>
      <c r="K53" s="2" t="s">
        <v>313</v>
      </c>
    </row>
    <row r="54" customFormat="false" ht="15.75" hidden="false" customHeight="false" outlineLevel="0" collapsed="false">
      <c r="I54" s="2" t="s">
        <v>304</v>
      </c>
      <c r="J54" s="2" t="n">
        <v>3.37</v>
      </c>
      <c r="K54" s="2" t="s">
        <v>314</v>
      </c>
    </row>
    <row r="55" customFormat="false" ht="15.75" hidden="false" customHeight="false" outlineLevel="0" collapsed="false">
      <c r="I55" s="2" t="s">
        <v>304</v>
      </c>
      <c r="J55" s="2" t="n">
        <v>6.32</v>
      </c>
      <c r="K55" s="2" t="s">
        <v>315</v>
      </c>
    </row>
    <row r="56" customFormat="false" ht="15.75" hidden="false" customHeight="false" outlineLevel="0" collapsed="false">
      <c r="I56" s="2" t="s">
        <v>304</v>
      </c>
      <c r="J56" s="2" t="n">
        <v>2.63</v>
      </c>
      <c r="K56" s="2" t="s">
        <v>316</v>
      </c>
    </row>
    <row r="57" customFormat="false" ht="15.75" hidden="false" customHeight="false" outlineLevel="0" collapsed="false">
      <c r="I57" s="2" t="s">
        <v>304</v>
      </c>
      <c r="J57" s="0" t="n">
        <f aca="false">7.98-2.79-0.52</f>
        <v>4.67</v>
      </c>
      <c r="K57" s="2" t="s">
        <v>317</v>
      </c>
    </row>
    <row r="58" customFormat="false" ht="15.75" hidden="false" customHeight="false" outlineLevel="0" collapsed="false">
      <c r="I58" s="2" t="s">
        <v>312</v>
      </c>
      <c r="J58" s="2" t="n">
        <v>137.36</v>
      </c>
      <c r="K58" s="2" t="s">
        <v>318</v>
      </c>
    </row>
    <row r="59" customFormat="false" ht="15.75" hidden="false" customHeight="false" outlineLevel="0" collapsed="false">
      <c r="I59" s="2" t="s">
        <v>304</v>
      </c>
      <c r="J59" s="2" t="n">
        <v>3.78</v>
      </c>
      <c r="K59" s="2" t="s">
        <v>319</v>
      </c>
    </row>
    <row r="60" customFormat="false" ht="15.75" hidden="false" customHeight="false" outlineLevel="0" collapsed="false">
      <c r="I60" s="2" t="s">
        <v>320</v>
      </c>
      <c r="J60" s="0" t="n">
        <f aca="false">30.09-2.21</f>
        <v>27.88</v>
      </c>
      <c r="K60" s="2" t="s">
        <v>321</v>
      </c>
    </row>
    <row r="61" customFormat="false" ht="15.75" hidden="false" customHeight="false" outlineLevel="0" collapsed="false">
      <c r="I61" s="2" t="s">
        <v>320</v>
      </c>
      <c r="J61" s="0" t="n">
        <f aca="false">56.1-19.64</f>
        <v>36.46</v>
      </c>
      <c r="K61" s="2" t="s">
        <v>321</v>
      </c>
    </row>
    <row r="62" customFormat="false" ht="15.75" hidden="false" customHeight="false" outlineLevel="0" collapsed="false">
      <c r="I62" s="2" t="s">
        <v>322</v>
      </c>
      <c r="J62" s="0" t="n">
        <f aca="false">1.56-0.23-0.13</f>
        <v>1.2</v>
      </c>
      <c r="K62" s="2" t="s">
        <v>323</v>
      </c>
    </row>
    <row r="63" customFormat="false" ht="15.75" hidden="false" customHeight="false" outlineLevel="0" collapsed="false">
      <c r="I63" s="2" t="s">
        <v>312</v>
      </c>
      <c r="J63" s="0" t="n">
        <f aca="false">166.29-24.94-5.4</f>
        <v>135.95</v>
      </c>
      <c r="K63" s="2" t="s">
        <v>323</v>
      </c>
    </row>
    <row r="64" customFormat="false" ht="15.75" hidden="false" customHeight="false" outlineLevel="0" collapsed="false">
      <c r="I64" s="2" t="s">
        <v>324</v>
      </c>
      <c r="J64" s="2" t="n">
        <v>22.99</v>
      </c>
      <c r="K64" s="2" t="s">
        <v>325</v>
      </c>
    </row>
    <row r="65" customFormat="false" ht="15.75" hidden="false" customHeight="false" outlineLevel="0" collapsed="false">
      <c r="I65" s="2" t="s">
        <v>312</v>
      </c>
      <c r="J65" s="0" t="n">
        <f aca="false">195.83</f>
        <v>195.83</v>
      </c>
      <c r="K65" s="2" t="s">
        <v>326</v>
      </c>
    </row>
    <row r="70" customFormat="false" ht="15.75" hidden="false" customHeight="false" outlineLevel="0" collapsed="false">
      <c r="G70" s="2" t="s">
        <v>98</v>
      </c>
      <c r="H70" s="0" t="n">
        <f aca="false">SUM(J47:J53)</f>
        <v>50.24</v>
      </c>
    </row>
    <row r="71" customFormat="false" ht="15.75" hidden="false" customHeight="false" outlineLevel="0" collapsed="false">
      <c r="G71" s="2" t="s">
        <v>99</v>
      </c>
      <c r="H71" s="0" t="n">
        <f aca="false">SUM(J54:J58)</f>
        <v>154.35</v>
      </c>
    </row>
    <row r="72" customFormat="false" ht="15.75" hidden="false" customHeight="false" outlineLevel="0" collapsed="false">
      <c r="G72" s="2" t="s">
        <v>100</v>
      </c>
      <c r="H72" s="0" t="n">
        <f aca="false">SUM(J59:J63)</f>
        <v>205.27</v>
      </c>
    </row>
    <row r="73" customFormat="false" ht="15.75" hidden="false" customHeight="false" outlineLevel="0" collapsed="false">
      <c r="G73" s="2" t="s">
        <v>285</v>
      </c>
      <c r="H73" s="2" t="e">
        <f aca="false">SUM(#REF!)</f>
        <v>#REF!</v>
      </c>
    </row>
  </sheetData>
  <mergeCells count="7">
    <mergeCell ref="D4:G4"/>
    <mergeCell ref="D5:G5"/>
    <mergeCell ref="D6:G6"/>
    <mergeCell ref="D7:G7"/>
    <mergeCell ref="D9:G9"/>
    <mergeCell ref="D11:G11"/>
    <mergeCell ref="B25:Q25"/>
  </mergeCells>
  <conditionalFormatting sqref="I4:I9 I11:I13 I15:I16">
    <cfRule type="cellIs" priority="2" operator="between" aboveAverage="0" equalAverage="0" bottom="0" percent="0" rank="0" text="" dxfId="0">
      <formula>0</formula>
      <formula>0.35</formula>
    </cfRule>
  </conditionalFormatting>
  <conditionalFormatting sqref="I4:I9 I11:I13 I15:I16">
    <cfRule type="cellIs" priority="3" operator="between" aboveAverage="0" equalAverage="0" bottom="0" percent="0" rank="0" text="" dxfId="1">
      <formula>0.36</formula>
      <formula>0.6</formula>
    </cfRule>
  </conditionalFormatting>
  <conditionalFormatting sqref="I4:I9 I11:I13 I15:I16">
    <cfRule type="cellIs" priority="4" operator="between" aboveAverage="0" equalAverage="0" bottom="0" percent="0" rank="0" text="" dxfId="5">
      <formula>0.6</formula>
      <formula>0.85</formula>
    </cfRule>
  </conditionalFormatting>
  <conditionalFormatting sqref="I4:I9 I11:I13 I15:I16">
    <cfRule type="cellIs" priority="5" operator="between" aboveAverage="0" equalAverage="0" bottom="0" percent="0" rank="0" text="" dxfId="3">
      <formula>0.86</formula>
      <formula>0.99</formula>
    </cfRule>
  </conditionalFormatting>
  <conditionalFormatting sqref="I4:I9 I11:I13 I15:I16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Y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3.38"/>
    <col collapsed="false" customWidth="true" hidden="false" outlineLevel="0" max="2" min="2" style="0" width="5.51"/>
    <col collapsed="false" customWidth="true" hidden="false" outlineLevel="0" max="3" min="3" style="0" width="9.13"/>
    <col collapsed="false" customWidth="true" hidden="false" outlineLevel="0" max="4" min="4" style="0" width="6.12"/>
    <col collapsed="false" customWidth="true" hidden="false" outlineLevel="0" max="5" min="5" style="0" width="12.38"/>
    <col collapsed="false" customWidth="true" hidden="false" outlineLevel="0" max="6" min="6" style="0" width="10.63"/>
    <col collapsed="false" customWidth="true" hidden="false" outlineLevel="0" max="7" min="7" style="0" width="6.12"/>
    <col collapsed="false" customWidth="true" hidden="false" outlineLevel="0" max="8" min="8" style="0" width="9.38"/>
    <col collapsed="false" customWidth="true" hidden="false" outlineLevel="0" max="9" min="9" style="0" width="15"/>
    <col collapsed="false" customWidth="true" hidden="false" outlineLevel="0" max="10" min="10" style="0" width="12.13"/>
    <col collapsed="false" customWidth="true" hidden="false" outlineLevel="0" max="11" min="11" style="0" width="8.5"/>
    <col collapsed="false" customWidth="true" hidden="false" outlineLevel="0" max="12" min="12" style="0" width="7.63"/>
    <col collapsed="false" customWidth="true" hidden="false" outlineLevel="0" max="13" min="13" style="0" width="8"/>
    <col collapsed="false" customWidth="true" hidden="false" outlineLevel="0" max="14" min="14" style="0" width="11.89"/>
    <col collapsed="false" customWidth="true" hidden="false" outlineLevel="0" max="15" min="15" style="0" width="8"/>
    <col collapsed="false" customWidth="true" hidden="false" outlineLevel="0" max="16" min="16" style="0" width="5.75"/>
    <col collapsed="false" customWidth="true" hidden="false" outlineLevel="0" max="17" min="17" style="0" width="6.51"/>
    <col collapsed="false" customWidth="true" hidden="false" outlineLevel="0" max="18" min="18" style="0" width="5.63"/>
    <col collapsed="false" customWidth="true" hidden="false" outlineLevel="0" max="19" min="19" style="0" width="11.25"/>
    <col collapsed="false" customWidth="true" hidden="false" outlineLevel="0" max="20" min="20" style="0" width="6.51"/>
    <col collapsed="false" customWidth="true" hidden="false" outlineLevel="0" max="21" min="21" style="0" width="7"/>
    <col collapsed="false" customWidth="true" hidden="false" outlineLevel="0" max="23" min="22" style="0" width="5.63"/>
    <col collapsed="false" customWidth="true" hidden="false" outlineLevel="0" max="25" min="25" style="0" width="6.51"/>
  </cols>
  <sheetData>
    <row r="1" customFormat="false" ht="15.75" hidden="false" customHeight="false" outlineLevel="0" collapsed="false">
      <c r="M1" s="114" t="s">
        <v>327</v>
      </c>
      <c r="P1" s="114"/>
      <c r="Q1" s="114"/>
      <c r="R1" s="114"/>
      <c r="S1" s="114"/>
      <c r="T1" s="114"/>
      <c r="U1" s="114"/>
    </row>
    <row r="3" customFormat="false" ht="16.15" hidden="false" customHeight="false" outlineLevel="0" collapsed="false">
      <c r="A3" s="2"/>
      <c r="B3" s="54" t="s">
        <v>328</v>
      </c>
      <c r="C3" s="54" t="s">
        <v>329</v>
      </c>
      <c r="D3" s="54" t="s">
        <v>330</v>
      </c>
      <c r="E3" s="54" t="s">
        <v>331</v>
      </c>
      <c r="F3" s="54" t="s">
        <v>332</v>
      </c>
      <c r="G3" s="54" t="s">
        <v>333</v>
      </c>
      <c r="H3" s="54" t="s">
        <v>334</v>
      </c>
      <c r="I3" s="54" t="s">
        <v>335</v>
      </c>
      <c r="J3" s="54" t="s">
        <v>336</v>
      </c>
      <c r="K3" s="54" t="s">
        <v>337</v>
      </c>
      <c r="L3" s="54" t="s">
        <v>338</v>
      </c>
      <c r="M3" s="54" t="s">
        <v>339</v>
      </c>
      <c r="N3" s="54" t="s">
        <v>340</v>
      </c>
      <c r="O3" s="54" t="s">
        <v>341</v>
      </c>
      <c r="P3" s="54" t="s">
        <v>342</v>
      </c>
      <c r="Q3" s="54" t="s">
        <v>343</v>
      </c>
      <c r="R3" s="54" t="s">
        <v>39</v>
      </c>
      <c r="S3" s="54" t="s">
        <v>344</v>
      </c>
      <c r="T3" s="101" t="s">
        <v>345</v>
      </c>
      <c r="U3" s="101" t="s">
        <v>346</v>
      </c>
      <c r="X3" s="54" t="s">
        <v>347</v>
      </c>
      <c r="Y3" s="100" t="n">
        <f aca="false">R4+R14+R19+R24+R29</f>
        <v>355846.95</v>
      </c>
    </row>
    <row r="4" customFormat="false" ht="16.15" hidden="false" customHeight="false" outlineLevel="0" collapsed="false">
      <c r="A4" s="2"/>
      <c r="B4" s="54" t="s">
        <v>348</v>
      </c>
      <c r="C4" s="54" t="s">
        <v>349</v>
      </c>
      <c r="D4" s="54" t="n">
        <v>20</v>
      </c>
      <c r="E4" s="54" t="n">
        <v>26.99</v>
      </c>
      <c r="F4" s="100" t="n">
        <f aca="false">E4*D4</f>
        <v>539.8</v>
      </c>
      <c r="G4" s="100" t="n">
        <f aca="false">23</f>
        <v>23</v>
      </c>
      <c r="H4" s="54" t="n">
        <v>31</v>
      </c>
      <c r="I4" s="54" t="n">
        <v>32.46</v>
      </c>
      <c r="J4" s="122" t="n">
        <f aca="false">1-H4/I4</f>
        <v>0.044978435</v>
      </c>
      <c r="K4" s="100" t="n">
        <f aca="false">IFERROR(__xludf.dummyfunction("GOOGLEFINANCE(""I"")"),17781)</f>
        <v>17781</v>
      </c>
      <c r="L4" s="122" t="n">
        <f aca="false">K4/E4-1</f>
        <v>657.7995554</v>
      </c>
      <c r="M4" s="122" t="n">
        <f aca="false">K4/I4-1</f>
        <v>546.7818854</v>
      </c>
      <c r="N4" s="122" t="n">
        <f aca="false">1-H4/K4</f>
        <v>0.998256566</v>
      </c>
      <c r="O4" s="122" t="n">
        <f aca="false">-(1-H4/E4)</f>
        <v>0.1485735458</v>
      </c>
      <c r="P4" s="100" t="n">
        <f aca="false">D4*(K4-I4)</f>
        <v>354970.8</v>
      </c>
      <c r="Q4" s="122" t="n">
        <f aca="false">M4</f>
        <v>546.7818854</v>
      </c>
      <c r="R4" s="100" t="n">
        <f aca="false">D4*(K4-E4)</f>
        <v>355080.2</v>
      </c>
      <c r="S4" s="122" t="n">
        <f aca="false">(K4/E4)-1</f>
        <v>657.7995554</v>
      </c>
      <c r="T4" s="100" t="n">
        <f aca="false">H4*D4-F4</f>
        <v>80.2</v>
      </c>
      <c r="U4" s="122" t="n">
        <f aca="false">(H4/E4)-1</f>
        <v>0.1485735458</v>
      </c>
      <c r="X4" s="54" t="s">
        <v>350</v>
      </c>
      <c r="Y4" s="100" t="n">
        <f aca="false">P4+P14+P19+P24+P29</f>
        <v>355850.61</v>
      </c>
    </row>
    <row r="5" customFormat="false" ht="16.15" hidden="false" customHeight="false" outlineLevel="0" collapsed="false">
      <c r="X5" s="54" t="s">
        <v>351</v>
      </c>
      <c r="Y5" s="100" t="n">
        <f aca="false">T4+T14+T19+T24+T29</f>
        <v>-119.7</v>
      </c>
    </row>
    <row r="6" customFormat="false" ht="15.75" hidden="false" customHeight="false" outlineLevel="0" collapsed="false">
      <c r="X6" s="54" t="s">
        <v>352</v>
      </c>
      <c r="Y6" s="100" t="n">
        <f aca="false">R10</f>
        <v>-91.44</v>
      </c>
    </row>
    <row r="8" customFormat="false" ht="15.75" hidden="false" customHeight="false" outlineLevel="0" collapsed="false">
      <c r="A8" s="2"/>
      <c r="B8" s="54" t="s">
        <v>328</v>
      </c>
      <c r="C8" s="54" t="s">
        <v>353</v>
      </c>
      <c r="D8" s="54" t="s">
        <v>330</v>
      </c>
      <c r="E8" s="54" t="s">
        <v>331</v>
      </c>
      <c r="F8" s="54" t="s">
        <v>332</v>
      </c>
      <c r="G8" s="54" t="s">
        <v>333</v>
      </c>
      <c r="H8" s="54" t="s">
        <v>334</v>
      </c>
      <c r="I8" s="54" t="s">
        <v>335</v>
      </c>
      <c r="J8" s="54" t="s">
        <v>336</v>
      </c>
      <c r="K8" s="54" t="s">
        <v>337</v>
      </c>
      <c r="L8" s="54" t="s">
        <v>338</v>
      </c>
      <c r="M8" s="54" t="s">
        <v>339</v>
      </c>
      <c r="N8" s="54" t="s">
        <v>340</v>
      </c>
      <c r="O8" s="54" t="s">
        <v>341</v>
      </c>
      <c r="P8" s="54" t="s">
        <v>342</v>
      </c>
      <c r="Q8" s="54" t="s">
        <v>343</v>
      </c>
      <c r="R8" s="54" t="s">
        <v>39</v>
      </c>
      <c r="S8" s="54" t="s">
        <v>344</v>
      </c>
      <c r="T8" s="101" t="s">
        <v>345</v>
      </c>
      <c r="U8" s="101" t="s">
        <v>346</v>
      </c>
    </row>
    <row r="9" customFormat="false" ht="16.15" hidden="false" customHeight="false" outlineLevel="0" collapsed="false">
      <c r="A9" s="2"/>
      <c r="B9" s="54" t="s">
        <v>348</v>
      </c>
      <c r="C9" s="54" t="s">
        <v>349</v>
      </c>
      <c r="D9" s="54" t="n">
        <v>9</v>
      </c>
      <c r="E9" s="54" t="n">
        <v>96.99</v>
      </c>
      <c r="F9" s="100" t="n">
        <f aca="false">E9*D9</f>
        <v>872.91</v>
      </c>
      <c r="G9" s="100" t="n">
        <f aca="false">84.38</f>
        <v>84.38</v>
      </c>
      <c r="H9" s="54" t="n">
        <v>87</v>
      </c>
      <c r="I9" s="54" t="n">
        <v>94.12</v>
      </c>
      <c r="J9" s="122" t="n">
        <f aca="false">1-H9/I9</f>
        <v>0.0756481088</v>
      </c>
      <c r="K9" s="100" t="str">
        <f aca="false">IFERROR(__xludf.dummyfunction("GOOGLEFINANCE(""SQ"")"),"#N/A")</f>
        <v>#N/A</v>
      </c>
      <c r="L9" s="122" t="e">
        <f aca="false">K9/E9-1</f>
        <v>#VALUE!</v>
      </c>
      <c r="M9" s="122" t="e">
        <f aca="false">K9/I9-1</f>
        <v>#VALUE!</v>
      </c>
      <c r="N9" s="122" t="e">
        <f aca="false">1-H9/K9</f>
        <v>#VALUE!</v>
      </c>
      <c r="O9" s="122" t="n">
        <f aca="false">-(1-H9/E9)</f>
        <v>-0.1030003093</v>
      </c>
      <c r="P9" s="100" t="e">
        <f aca="false">D9*(K9-I9)</f>
        <v>#VALUE!</v>
      </c>
      <c r="Q9" s="122" t="e">
        <f aca="false">M9</f>
        <v>#VALUE!</v>
      </c>
      <c r="R9" s="100" t="e">
        <f aca="false">D9*(K9-E9)</f>
        <v>#VALUE!</v>
      </c>
      <c r="S9" s="122" t="e">
        <f aca="false">(K9/E9)-1</f>
        <v>#VALUE!</v>
      </c>
      <c r="T9" s="100" t="n">
        <f aca="false">H9*D9-F9</f>
        <v>-89.91</v>
      </c>
      <c r="U9" s="122" t="n">
        <f aca="false">(H9/E9)-1</f>
        <v>-0.1030003093</v>
      </c>
    </row>
    <row r="10" customFormat="false" ht="16.15" hidden="false" customHeight="false" outlineLevel="0" collapsed="false">
      <c r="A10" s="2"/>
      <c r="B10" s="54" t="s">
        <v>354</v>
      </c>
      <c r="C10" s="128" t="n">
        <v>43353</v>
      </c>
      <c r="D10" s="54" t="n">
        <v>9</v>
      </c>
      <c r="E10" s="54" t="n">
        <v>86.83</v>
      </c>
      <c r="F10" s="100" t="n">
        <f aca="false">E10*D10</f>
        <v>781.47</v>
      </c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 t="n">
        <f aca="false">F10-F9</f>
        <v>-91.44</v>
      </c>
      <c r="S10" s="122" t="n">
        <f aca="false">1-F9/F10</f>
        <v>-0.1170102499</v>
      </c>
      <c r="T10" s="100"/>
      <c r="U10" s="100"/>
      <c r="X10" s="2" t="s">
        <v>355</v>
      </c>
      <c r="Y10" s="0" t="n">
        <f aca="false">F4+F9+F14+F19+F24+E29</f>
        <v>3004.61</v>
      </c>
    </row>
    <row r="13" customFormat="false" ht="15.75" hidden="false" customHeight="false" outlineLevel="0" collapsed="false">
      <c r="A13" s="2"/>
      <c r="B13" s="54" t="s">
        <v>328</v>
      </c>
      <c r="C13" s="54" t="s">
        <v>356</v>
      </c>
      <c r="D13" s="54" t="s">
        <v>330</v>
      </c>
      <c r="E13" s="54" t="s">
        <v>331</v>
      </c>
      <c r="F13" s="54" t="s">
        <v>332</v>
      </c>
      <c r="G13" s="54" t="s">
        <v>333</v>
      </c>
      <c r="H13" s="54" t="s">
        <v>334</v>
      </c>
      <c r="I13" s="54" t="s">
        <v>335</v>
      </c>
      <c r="J13" s="54" t="s">
        <v>336</v>
      </c>
      <c r="K13" s="54" t="s">
        <v>337</v>
      </c>
      <c r="L13" s="54" t="s">
        <v>338</v>
      </c>
      <c r="M13" s="54" t="s">
        <v>339</v>
      </c>
      <c r="N13" s="54" t="s">
        <v>340</v>
      </c>
      <c r="O13" s="54" t="s">
        <v>341</v>
      </c>
      <c r="P13" s="54" t="s">
        <v>342</v>
      </c>
      <c r="Q13" s="54" t="s">
        <v>343</v>
      </c>
      <c r="R13" s="54" t="s">
        <v>39</v>
      </c>
      <c r="S13" s="54" t="s">
        <v>344</v>
      </c>
      <c r="T13" s="101" t="s">
        <v>345</v>
      </c>
      <c r="U13" s="101" t="s">
        <v>346</v>
      </c>
    </row>
    <row r="14" customFormat="false" ht="16.15" hidden="false" customHeight="false" outlineLevel="0" collapsed="false">
      <c r="A14" s="2"/>
      <c r="B14" s="54" t="s">
        <v>348</v>
      </c>
      <c r="C14" s="54" t="s">
        <v>349</v>
      </c>
      <c r="D14" s="54" t="n">
        <v>6</v>
      </c>
      <c r="E14" s="54" t="n">
        <v>160.86</v>
      </c>
      <c r="F14" s="100" t="n">
        <f aca="false">E14*D14</f>
        <v>965.16</v>
      </c>
      <c r="G14" s="100" t="n">
        <f aca="false">139.94</f>
        <v>139.94</v>
      </c>
      <c r="H14" s="54" t="n">
        <v>142</v>
      </c>
      <c r="I14" s="54" t="n">
        <v>147.85</v>
      </c>
      <c r="J14" s="122" t="n">
        <f aca="false">1-H14/I14</f>
        <v>0.03956712885</v>
      </c>
      <c r="K14" s="100" t="n">
        <f aca="false">IFERROR(__xludf.dummyfunction("GOOGLEFINANCE(""VRSN"")"),272.44)</f>
        <v>272.44</v>
      </c>
      <c r="L14" s="122" t="n">
        <f aca="false">K14/E14-1</f>
        <v>0.6936466493</v>
      </c>
      <c r="M14" s="122" t="n">
        <f aca="false">K14/I14-1</f>
        <v>0.8426783903</v>
      </c>
      <c r="N14" s="122" t="n">
        <f aca="false">1-H14/K14</f>
        <v>0.4787843195</v>
      </c>
      <c r="O14" s="122" t="n">
        <f aca="false">-(1-H14/E14)</f>
        <v>-0.1172448092</v>
      </c>
      <c r="P14" s="100" t="n">
        <f aca="false">D14*(K14-I14)</f>
        <v>747.54</v>
      </c>
      <c r="Q14" s="122" t="n">
        <f aca="false">M14</f>
        <v>0.8426783903</v>
      </c>
      <c r="R14" s="100" t="n">
        <f aca="false">D14*(K14-E14)</f>
        <v>669.48</v>
      </c>
      <c r="S14" s="122" t="n">
        <f aca="false">(K14/E14)-1</f>
        <v>0.6936466493</v>
      </c>
      <c r="T14" s="100" t="n">
        <f aca="false">H14*D14-F14</f>
        <v>-113.16</v>
      </c>
      <c r="U14" s="122" t="n">
        <f aca="false">(H14/E14)-1</f>
        <v>-0.1172448092</v>
      </c>
    </row>
    <row r="18" customFormat="false" ht="15.75" hidden="false" customHeight="false" outlineLevel="0" collapsed="false">
      <c r="A18" s="2"/>
      <c r="B18" s="54" t="s">
        <v>328</v>
      </c>
      <c r="C18" s="129" t="s">
        <v>357</v>
      </c>
      <c r="D18" s="130" t="s">
        <v>330</v>
      </c>
      <c r="E18" s="130" t="s">
        <v>331</v>
      </c>
      <c r="F18" s="130" t="s">
        <v>332</v>
      </c>
      <c r="G18" s="130" t="s">
        <v>333</v>
      </c>
      <c r="H18" s="130" t="s">
        <v>334</v>
      </c>
      <c r="I18" s="130" t="s">
        <v>335</v>
      </c>
      <c r="J18" s="130" t="s">
        <v>336</v>
      </c>
      <c r="K18" s="54" t="s">
        <v>337</v>
      </c>
      <c r="L18" s="130" t="s">
        <v>338</v>
      </c>
      <c r="M18" s="130" t="s">
        <v>339</v>
      </c>
      <c r="N18" s="130" t="s">
        <v>340</v>
      </c>
      <c r="O18" s="130" t="s">
        <v>341</v>
      </c>
      <c r="P18" s="54" t="s">
        <v>342</v>
      </c>
      <c r="Q18" s="54" t="s">
        <v>343</v>
      </c>
      <c r="R18" s="54" t="s">
        <v>39</v>
      </c>
      <c r="S18" s="54" t="s">
        <v>344</v>
      </c>
      <c r="T18" s="101" t="s">
        <v>345</v>
      </c>
      <c r="U18" s="101" t="s">
        <v>346</v>
      </c>
    </row>
    <row r="19" customFormat="false" ht="16.15" hidden="false" customHeight="false" outlineLevel="0" collapsed="false">
      <c r="A19" s="2"/>
      <c r="B19" s="54" t="s">
        <v>348</v>
      </c>
      <c r="C19" s="131" t="n">
        <v>43141</v>
      </c>
      <c r="D19" s="132" t="n">
        <v>8</v>
      </c>
      <c r="E19" s="132" t="n">
        <v>27.65</v>
      </c>
      <c r="F19" s="132" t="n">
        <f aca="false">E19*D19</f>
        <v>221.2</v>
      </c>
      <c r="G19" s="132" t="n">
        <f aca="false">24</f>
        <v>24</v>
      </c>
      <c r="H19" s="132" t="n">
        <v>25</v>
      </c>
      <c r="I19" s="132" t="n">
        <v>26.74</v>
      </c>
      <c r="J19" s="133" t="n">
        <f aca="false">1-H19/I19</f>
        <v>0.0650710546</v>
      </c>
      <c r="K19" s="132" t="n">
        <f aca="false">IFERROR(__xludf.dummyfunction("GOOGLEFINANCE(""EC"")"),13.92)</f>
        <v>13.92</v>
      </c>
      <c r="L19" s="133" t="n">
        <f aca="false">K19/E19-1</f>
        <v>-0.4965641953</v>
      </c>
      <c r="M19" s="133" t="n">
        <f aca="false">K19/I19-1</f>
        <v>-0.4794315632</v>
      </c>
      <c r="N19" s="133" t="n">
        <f aca="false">1-H19/K19</f>
        <v>-0.7959770115</v>
      </c>
      <c r="O19" s="133" t="n">
        <f aca="false">-(1-H19/E19)</f>
        <v>-0.09584086799</v>
      </c>
      <c r="P19" s="132" t="n">
        <f aca="false">D19*(K19-I19)</f>
        <v>-102.56</v>
      </c>
      <c r="Q19" s="122" t="n">
        <f aca="false">M19</f>
        <v>-0.4794315632</v>
      </c>
      <c r="R19" s="132" t="n">
        <f aca="false">D19*(K19-E19)</f>
        <v>-109.84</v>
      </c>
      <c r="S19" s="122" t="n">
        <f aca="false">(K19/E19)-1</f>
        <v>-0.4965641953</v>
      </c>
      <c r="T19" s="132" t="n">
        <f aca="false">H19*D19-F19</f>
        <v>-21.2</v>
      </c>
      <c r="U19" s="122" t="n">
        <f aca="false">(H19/E19)-1</f>
        <v>-0.09584086799</v>
      </c>
    </row>
    <row r="23" customFormat="false" ht="15.75" hidden="false" customHeight="false" outlineLevel="0" collapsed="false">
      <c r="A23" s="2"/>
      <c r="B23" s="54" t="s">
        <v>328</v>
      </c>
      <c r="C23" s="129" t="s">
        <v>358</v>
      </c>
      <c r="D23" s="130" t="s">
        <v>330</v>
      </c>
      <c r="E23" s="130" t="s">
        <v>331</v>
      </c>
      <c r="F23" s="130" t="s">
        <v>332</v>
      </c>
      <c r="G23" s="130" t="s">
        <v>333</v>
      </c>
      <c r="H23" s="130" t="s">
        <v>334</v>
      </c>
      <c r="I23" s="130" t="s">
        <v>335</v>
      </c>
      <c r="J23" s="130" t="s">
        <v>336</v>
      </c>
      <c r="K23" s="54" t="s">
        <v>337</v>
      </c>
      <c r="L23" s="130" t="s">
        <v>338</v>
      </c>
      <c r="M23" s="130" t="s">
        <v>339</v>
      </c>
      <c r="N23" s="130" t="s">
        <v>340</v>
      </c>
      <c r="O23" s="130" t="s">
        <v>341</v>
      </c>
      <c r="P23" s="54" t="s">
        <v>342</v>
      </c>
      <c r="Q23" s="54" t="s">
        <v>343</v>
      </c>
      <c r="R23" s="54" t="s">
        <v>39</v>
      </c>
      <c r="S23" s="54" t="s">
        <v>344</v>
      </c>
      <c r="T23" s="101" t="s">
        <v>345</v>
      </c>
      <c r="U23" s="101" t="s">
        <v>346</v>
      </c>
    </row>
    <row r="24" customFormat="false" ht="16.15" hidden="false" customHeight="false" outlineLevel="0" collapsed="false">
      <c r="A24" s="2"/>
      <c r="B24" s="54" t="s">
        <v>348</v>
      </c>
      <c r="C24" s="131" t="n">
        <v>43141</v>
      </c>
      <c r="D24" s="132" t="n">
        <v>1</v>
      </c>
      <c r="E24" s="132" t="n">
        <v>115.13</v>
      </c>
      <c r="F24" s="132" t="n">
        <f aca="false">E24*D24</f>
        <v>115.13</v>
      </c>
      <c r="G24" s="132" t="n">
        <f aca="false">100</f>
        <v>100</v>
      </c>
      <c r="H24" s="132" t="n">
        <v>100</v>
      </c>
      <c r="I24" s="132" t="n">
        <v>112.33</v>
      </c>
      <c r="J24" s="133" t="n">
        <f aca="false">1-H24/I24</f>
        <v>0.1097658684</v>
      </c>
      <c r="K24" s="132" t="n">
        <f aca="false">IFERROR(__xludf.dummyfunction("GOOGLEFINANCE(""MSFT"")"),414.2)</f>
        <v>414.2</v>
      </c>
      <c r="L24" s="133" t="n">
        <f aca="false">K24/E24-1</f>
        <v>2.597672197</v>
      </c>
      <c r="M24" s="133" t="n">
        <f aca="false">K24/I24-1</f>
        <v>2.687349773</v>
      </c>
      <c r="N24" s="133" t="n">
        <f aca="false">1-H24/K24</f>
        <v>0.7585707388</v>
      </c>
      <c r="O24" s="133" t="n">
        <f aca="false">-(1-H24/E24)</f>
        <v>-0.1314166594</v>
      </c>
      <c r="P24" s="132" t="n">
        <f aca="false">D24*(K24-I24)</f>
        <v>301.87</v>
      </c>
      <c r="Q24" s="122" t="n">
        <f aca="false">M24</f>
        <v>2.687349773</v>
      </c>
      <c r="R24" s="132" t="n">
        <f aca="false">D24*(K24-E24)</f>
        <v>299.07</v>
      </c>
      <c r="S24" s="122" t="n">
        <f aca="false">(K24/E24)-1</f>
        <v>2.597672197</v>
      </c>
      <c r="T24" s="132" t="n">
        <f aca="false">H24*D24-F24</f>
        <v>-15.13</v>
      </c>
      <c r="U24" s="122" t="n">
        <f aca="false">(H24/E24)-1</f>
        <v>-0.1314166594</v>
      </c>
    </row>
    <row r="28" customFormat="false" ht="15.75" hidden="false" customHeight="false" outlineLevel="0" collapsed="false">
      <c r="A28" s="2"/>
      <c r="B28" s="54" t="s">
        <v>328</v>
      </c>
      <c r="C28" s="129" t="s">
        <v>359</v>
      </c>
      <c r="D28" s="130" t="s">
        <v>330</v>
      </c>
      <c r="E28" s="130" t="s">
        <v>331</v>
      </c>
      <c r="F28" s="130" t="s">
        <v>332</v>
      </c>
      <c r="G28" s="130" t="s">
        <v>333</v>
      </c>
      <c r="H28" s="130" t="s">
        <v>334</v>
      </c>
      <c r="I28" s="130" t="s">
        <v>335</v>
      </c>
      <c r="J28" s="130" t="s">
        <v>336</v>
      </c>
      <c r="K28" s="54" t="s">
        <v>337</v>
      </c>
      <c r="L28" s="130" t="s">
        <v>338</v>
      </c>
      <c r="M28" s="130" t="s">
        <v>339</v>
      </c>
      <c r="N28" s="130" t="s">
        <v>340</v>
      </c>
      <c r="O28" s="130" t="s">
        <v>341</v>
      </c>
      <c r="P28" s="54" t="s">
        <v>342</v>
      </c>
      <c r="Q28" s="54" t="s">
        <v>343</v>
      </c>
      <c r="R28" s="54" t="s">
        <v>39</v>
      </c>
      <c r="S28" s="54" t="s">
        <v>344</v>
      </c>
      <c r="T28" s="101" t="s">
        <v>345</v>
      </c>
      <c r="U28" s="101" t="s">
        <v>346</v>
      </c>
    </row>
    <row r="29" customFormat="false" ht="16.15" hidden="false" customHeight="false" outlineLevel="0" collapsed="false">
      <c r="A29" s="2"/>
      <c r="B29" s="54" t="s">
        <v>348</v>
      </c>
      <c r="C29" s="131" t="n">
        <v>43141</v>
      </c>
      <c r="D29" s="132" t="n">
        <v>1</v>
      </c>
      <c r="E29" s="132" t="n">
        <v>290.41</v>
      </c>
      <c r="F29" s="132" t="n">
        <f aca="false">E29*D29</f>
        <v>290.41</v>
      </c>
      <c r="G29" s="132" t="n">
        <f aca="false">260</f>
        <v>260</v>
      </c>
      <c r="H29" s="132" t="n">
        <v>240</v>
      </c>
      <c r="I29" s="132" t="n">
        <v>265.49</v>
      </c>
      <c r="J29" s="133" t="n">
        <f aca="false">1-H29/I29</f>
        <v>0.0960111492</v>
      </c>
      <c r="K29" s="132" t="n">
        <f aca="false">IFERROR(__xludf.dummyfunction("GOOGLEFINANCE(""NVDA"")"),198.45)</f>
        <v>198.45</v>
      </c>
      <c r="L29" s="133" t="n">
        <f aca="false">K29/E29-1</f>
        <v>-0.3166557625</v>
      </c>
      <c r="M29" s="133" t="n">
        <f aca="false">K29/I29-1</f>
        <v>-0.252514219</v>
      </c>
      <c r="N29" s="133" t="n">
        <f aca="false">1-H29/K29</f>
        <v>-0.2093726379</v>
      </c>
      <c r="O29" s="133" t="n">
        <f aca="false">-(1-H29/E29)</f>
        <v>-0.1735821769</v>
      </c>
      <c r="P29" s="132" t="n">
        <f aca="false">D29*(K29-I29)</f>
        <v>-67.04</v>
      </c>
      <c r="Q29" s="122" t="n">
        <f aca="false">M29</f>
        <v>-0.252514219</v>
      </c>
      <c r="R29" s="132" t="n">
        <f aca="false">D29*(K29-E29)</f>
        <v>-91.96</v>
      </c>
      <c r="S29" s="122" t="n">
        <f aca="false">(K29/E29)-1</f>
        <v>-0.3166557625</v>
      </c>
      <c r="T29" s="132" t="n">
        <f aca="false">H29*D29-F29</f>
        <v>-50.41</v>
      </c>
      <c r="U29" s="122" t="n">
        <f aca="false">(H29/E29)-1</f>
        <v>-0.1735821769</v>
      </c>
    </row>
  </sheetData>
  <conditionalFormatting sqref="Y3:Y5 P4:U7 P9:U12 P14:U17 P19:U22 P24:U27 P29:U100">
    <cfRule type="cellIs" priority="2" operator="greaterThan" aboveAverage="0" equalAverage="0" bottom="0" percent="0" rank="0" text="" dxfId="6">
      <formula>0</formula>
    </cfRule>
  </conditionalFormatting>
  <conditionalFormatting sqref="Y3:Y5 P4:U7 P9:U12 P14:U17 P19:U22 P24:U27 P29:U100">
    <cfRule type="cellIs" priority="3" operator="lessThan" aboveAverage="0" equalAverage="0" bottom="0" percent="0" rank="0" text="" dxfId="7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B2:S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.63"/>
    <col collapsed="false" customWidth="true" hidden="false" outlineLevel="0" max="2" min="2" style="0" width="26.25"/>
    <col collapsed="false" customWidth="true" hidden="false" outlineLevel="0" max="3" min="3" style="0" width="9"/>
    <col collapsed="false" customWidth="true" hidden="false" outlineLevel="0" max="4" min="4" style="0" width="6.12"/>
    <col collapsed="false" customWidth="true" hidden="false" outlineLevel="0" max="5" min="5" style="0" width="6.88"/>
    <col collapsed="false" customWidth="true" hidden="false" outlineLevel="0" max="6" min="6" style="0" width="7.75"/>
    <col collapsed="false" customWidth="true" hidden="false" outlineLevel="0" max="7" min="7" style="0" width="10.88"/>
    <col collapsed="false" customWidth="true" hidden="false" outlineLevel="0" max="8" min="8" style="0" width="5.13"/>
    <col collapsed="false" customWidth="true" hidden="false" outlineLevel="0" max="9" min="9" style="0" width="6.51"/>
    <col collapsed="false" customWidth="true" hidden="false" outlineLevel="0" max="10" min="10" style="0" width="7.88"/>
    <col collapsed="false" customWidth="true" hidden="false" outlineLevel="0" max="11" min="11" style="0" width="8.38"/>
    <col collapsed="false" customWidth="true" hidden="false" outlineLevel="0" max="12" min="12" style="0" width="10.63"/>
    <col collapsed="false" customWidth="true" hidden="false" outlineLevel="0" max="13" min="13" style="0" width="10.51"/>
    <col collapsed="false" customWidth="true" hidden="false" outlineLevel="0" max="14" min="14" style="0" width="5.13"/>
    <col collapsed="false" customWidth="true" hidden="false" outlineLevel="0" max="15" min="15" style="0" width="6.75"/>
    <col collapsed="false" customWidth="true" hidden="false" outlineLevel="0" max="16" min="16" style="0" width="4.25"/>
    <col collapsed="false" customWidth="true" hidden="false" outlineLevel="0" max="17" min="17" style="0" width="6.51"/>
    <col collapsed="false" customWidth="true" hidden="false" outlineLevel="0" max="18" min="18" style="0" width="6"/>
  </cols>
  <sheetData>
    <row r="2" customFormat="false" ht="15.75" hidden="false" customHeight="false" outlineLevel="0" collapsed="false">
      <c r="B2" s="54" t="s">
        <v>360</v>
      </c>
      <c r="C2" s="54" t="s">
        <v>361</v>
      </c>
      <c r="D2" s="54" t="s">
        <v>330</v>
      </c>
      <c r="E2" s="54" t="s">
        <v>362</v>
      </c>
      <c r="F2" s="54" t="s">
        <v>363</v>
      </c>
      <c r="G2" s="54" t="s">
        <v>364</v>
      </c>
      <c r="H2" s="2"/>
      <c r="I2" s="2"/>
    </row>
    <row r="3" customFormat="false" ht="15.75" hidden="false" customHeight="false" outlineLevel="0" collapsed="false">
      <c r="B3" s="54" t="s">
        <v>304</v>
      </c>
      <c r="C3" s="54" t="s">
        <v>270</v>
      </c>
      <c r="D3" s="54" t="n">
        <v>9</v>
      </c>
      <c r="E3" s="54" t="str">
        <f aca="false">IFERROR(__xludf.dummyfunction("GOOGLEFINANCE(C3,""price"")"),"#N/A")</f>
        <v>#N/A</v>
      </c>
      <c r="F3" s="100" t="e">
        <f aca="false">D3*E3</f>
        <v>#VALUE!</v>
      </c>
      <c r="G3" s="100" t="e">
        <f aca="false">F3</f>
        <v>#VALUE!</v>
      </c>
    </row>
    <row r="4" customFormat="false" ht="15.75" hidden="false" customHeight="false" outlineLevel="0" collapsed="false">
      <c r="B4" s="54" t="s">
        <v>365</v>
      </c>
      <c r="C4" s="54" t="s">
        <v>275</v>
      </c>
      <c r="D4" s="54" t="n">
        <v>196</v>
      </c>
      <c r="E4" s="54" t="n">
        <f aca="false">IFERROR(__xludf.dummyfunction("GOOGLEFINANCE(C4,""price"")"),151.44)</f>
        <v>151.44</v>
      </c>
      <c r="F4" s="100" t="n">
        <f aca="false">D4*E4</f>
        <v>29682.24</v>
      </c>
      <c r="G4" s="100" t="n">
        <f aca="false">IFERROR(__xludf.dummyfunction("F4*GOOGLEFINANCE(""CURRENCY:USDCHF"")"),23185.0944864)</f>
        <v>23185.09449</v>
      </c>
    </row>
    <row r="5" customFormat="false" ht="15.75" hidden="false" customHeight="false" outlineLevel="0" collapsed="false">
      <c r="B5" s="54" t="s">
        <v>320</v>
      </c>
      <c r="C5" s="100" t="s">
        <v>366</v>
      </c>
      <c r="D5" s="54" t="n">
        <v>8</v>
      </c>
      <c r="E5" s="54" t="str">
        <f aca="false">IFERROR(__xludf.dummyfunction("GOOGLEFINANCE(C5,""price"")"),"#N/A")</f>
        <v>#N/A</v>
      </c>
      <c r="F5" s="100" t="e">
        <f aca="false">D5*E5</f>
        <v>#VALUE!</v>
      </c>
      <c r="G5" s="100" t="e">
        <f aca="false">F5</f>
        <v>#VALUE!</v>
      </c>
      <c r="I5" s="1" t="s">
        <v>367</v>
      </c>
      <c r="J5" s="134" t="s">
        <v>368</v>
      </c>
    </row>
    <row r="6" customFormat="false" ht="15.75" hidden="false" customHeight="false" outlineLevel="0" collapsed="false">
      <c r="B6" s="54" t="s">
        <v>369</v>
      </c>
      <c r="C6" s="54" t="s">
        <v>370</v>
      </c>
      <c r="D6" s="54" t="n">
        <v>13</v>
      </c>
      <c r="E6" s="54" t="n">
        <f aca="false">IFERROR(__xludf.dummyfunction("GOOGLEFINANCE(C6,""price"")"),106.84)</f>
        <v>106.84</v>
      </c>
      <c r="F6" s="100" t="n">
        <f aca="false">D6*E6</f>
        <v>1388.92</v>
      </c>
      <c r="G6" s="135" t="n">
        <f aca="false">IFERROR(__xludf.dummyfunction("F6*GOOGLEFINANCE(""CURRENCY:USDCHF"")"),1084.8993012)</f>
        <v>1084.899301</v>
      </c>
    </row>
    <row r="7" customFormat="false" ht="15.75" hidden="false" customHeight="false" outlineLevel="0" collapsed="false">
      <c r="B7" s="54" t="s">
        <v>371</v>
      </c>
      <c r="C7" s="54" t="s">
        <v>372</v>
      </c>
      <c r="D7" s="54" t="n">
        <v>15</v>
      </c>
      <c r="E7" s="54" t="n">
        <f aca="false">IFERROR(__xludf.dummyfunction("GOOGLEFINANCE(C7,""price"")"),98.67)</f>
        <v>98.67</v>
      </c>
      <c r="F7" s="100" t="n">
        <f aca="false">D7*E7</f>
        <v>1480.05</v>
      </c>
      <c r="G7" s="135" t="n">
        <f aca="false">IFERROR(__xludf.dummyfunction("F7*GOOGLEFINANCE(""CURRENCY:USDCHF"")"),1156.0818555)</f>
        <v>1156.081856</v>
      </c>
    </row>
    <row r="8" customFormat="false" ht="15.75" hidden="false" customHeight="false" outlineLevel="0" collapsed="false">
      <c r="B8" s="54" t="s">
        <v>302</v>
      </c>
      <c r="C8" s="54" t="s">
        <v>373</v>
      </c>
      <c r="D8" s="54" t="n">
        <v>75</v>
      </c>
      <c r="E8" s="54" t="str">
        <f aca="false">IFERROR(__xludf.dummyfunction("GOOGLEFINANCE(C8,""price"")"),"#N/A")</f>
        <v>#N/A</v>
      </c>
      <c r="F8" s="100" t="e">
        <f aca="false">D8*E8</f>
        <v>#VALUE!</v>
      </c>
      <c r="G8" s="135" t="str">
        <f aca="false">IFERROR(__xludf.dummyfunction("F8*GOOGLEFINANCE(""CURRENCY:EURCHF"")"),"#N/A")</f>
        <v>#N/A</v>
      </c>
    </row>
    <row r="9" customFormat="false" ht="15.75" hidden="false" customHeight="false" outlineLevel="0" collapsed="false">
      <c r="B9" s="54" t="s">
        <v>374</v>
      </c>
      <c r="C9" s="54" t="s">
        <v>375</v>
      </c>
      <c r="D9" s="54" t="n">
        <v>3</v>
      </c>
      <c r="E9" s="54" t="n">
        <f aca="false">IFERROR(__xludf.dummyfunction("GOOGLEFINANCE(C9,""price"")"),108.71)</f>
        <v>108.71</v>
      </c>
      <c r="F9" s="100" t="n">
        <f aca="false">D9*E9</f>
        <v>326.13</v>
      </c>
      <c r="G9" s="135" t="n">
        <f aca="false">IFERROR(__xludf.dummyfunction("F9*GOOGLEFINANCE(""CURRENCY:EURCHF"")"),298.74323325)</f>
        <v>298.7432333</v>
      </c>
    </row>
    <row r="10" customFormat="false" ht="15.75" hidden="false" customHeight="false" outlineLevel="0" collapsed="false">
      <c r="B10" s="54" t="s">
        <v>376</v>
      </c>
      <c r="C10" s="54" t="s">
        <v>377</v>
      </c>
      <c r="D10" s="54" t="n">
        <v>3</v>
      </c>
      <c r="E10" s="54" t="n">
        <f aca="false">IFERROR(__xludf.dummyfunction("GOOGLEFINANCE(C10,""price"")"),119.1)</f>
        <v>119.1</v>
      </c>
      <c r="F10" s="100" t="n">
        <f aca="false">D10*E10</f>
        <v>357.3</v>
      </c>
      <c r="G10" s="135" t="n">
        <f aca="false">IFERROR(__xludf.dummyfunction("F10*GOOGLEFINANCE(""CURRENCY:EURCHF"")"),327.2957325)</f>
        <v>327.2957325</v>
      </c>
    </row>
    <row r="11" customFormat="false" ht="15.75" hidden="false" customHeight="false" outlineLevel="0" collapsed="false">
      <c r="B11" s="54" t="s">
        <v>378</v>
      </c>
      <c r="C11" s="54" t="s">
        <v>379</v>
      </c>
      <c r="D11" s="54" t="n">
        <v>1</v>
      </c>
      <c r="E11" s="54" t="str">
        <f aca="false">IFERROR(__xludf.dummyfunction("GOOGLEFINANCE(C11,""price"")"),"#N/A")</f>
        <v>#N/A</v>
      </c>
      <c r="F11" s="100" t="e">
        <f aca="false">D11*E11</f>
        <v>#VALUE!</v>
      </c>
      <c r="G11" s="135" t="str">
        <f aca="false">IFERROR(__xludf.dummyfunction("F11*GOOGLEFINANCE(""CURRENCY:EURCHF"")"),"#N/A")</f>
        <v>#N/A</v>
      </c>
    </row>
    <row r="13" customFormat="false" ht="15.75" hidden="false" customHeight="false" outlineLevel="0" collapsed="false">
      <c r="G13" s="100" t="e">
        <f aca="false">SUM(G3:G11)</f>
        <v>#VALUE!</v>
      </c>
    </row>
    <row r="15" customFormat="false" ht="15.75" hidden="false" customHeight="false" outlineLevel="0" collapsed="false">
      <c r="B15" s="2" t="s">
        <v>380</v>
      </c>
    </row>
    <row r="17" customFormat="false" ht="15.75" hidden="false" customHeight="false" outlineLevel="0" collapsed="false">
      <c r="B17" s="136" t="s">
        <v>381</v>
      </c>
      <c r="C17" s="136" t="s">
        <v>382</v>
      </c>
      <c r="D17" s="136" t="s">
        <v>330</v>
      </c>
      <c r="E17" s="136" t="s">
        <v>362</v>
      </c>
      <c r="F17" s="136" t="s">
        <v>363</v>
      </c>
      <c r="G17" s="136" t="s">
        <v>364</v>
      </c>
      <c r="H17" s="136" t="s">
        <v>383</v>
      </c>
      <c r="I17" s="136" t="s">
        <v>384</v>
      </c>
      <c r="J17" s="136" t="s">
        <v>385</v>
      </c>
      <c r="K17" s="136" t="s">
        <v>386</v>
      </c>
      <c r="L17" s="136" t="s">
        <v>387</v>
      </c>
      <c r="M17" s="136" t="s">
        <v>388</v>
      </c>
      <c r="N17" s="136" t="s">
        <v>389</v>
      </c>
      <c r="O17" s="136" t="s">
        <v>390</v>
      </c>
      <c r="P17" s="136" t="s">
        <v>391</v>
      </c>
      <c r="Q17" s="136" t="s">
        <v>392</v>
      </c>
      <c r="R17" s="136" t="s">
        <v>393</v>
      </c>
      <c r="S17" s="136" t="s">
        <v>394</v>
      </c>
    </row>
    <row r="18" customFormat="false" ht="16.15" hidden="false" customHeight="false" outlineLevel="0" collapsed="false">
      <c r="B18" s="137" t="s">
        <v>395</v>
      </c>
      <c r="C18" s="137" t="s">
        <v>396</v>
      </c>
      <c r="D18" s="137" t="n">
        <v>2</v>
      </c>
      <c r="E18" s="138" t="n">
        <f aca="false">IFERROR(__xludf.dummyfunction("GOOGLEFINANCE(C18,""price"")"),78.58)</f>
        <v>78.58</v>
      </c>
      <c r="F18" s="139" t="n">
        <f aca="false">D18*E18</f>
        <v>157.16</v>
      </c>
      <c r="G18" s="140" t="n">
        <f aca="false">IFERROR(__xludf.dummyfunction("F18*GOOGLEFINANCE(""CURRENCY:USDCHF"")"),122.7592476)</f>
        <v>122.7592476</v>
      </c>
      <c r="H18" s="54" t="str">
        <f aca="false">IFERROR(__xludf.dummyfunction("split(IMPORTXML(concatenate(""https://finance.yahoo.com/quote/"",C18),$J$5),""()"")"),"#N/A")</f>
        <v>#N/A</v>
      </c>
      <c r="I18" s="100"/>
      <c r="J18" s="122" t="n">
        <f aca="false">G18/$G$22</f>
        <v>0.471711138457844</v>
      </c>
      <c r="K18" s="122" t="n">
        <f aca="false">J18*I18</f>
        <v>0</v>
      </c>
      <c r="L18" s="100" t="e">
        <f aca="false">H18*D18</f>
        <v>#VALUE!</v>
      </c>
      <c r="M18" s="141" t="str">
        <f aca="false">IFERROR(__xludf.dummyfunction("L18*GOOGLEFINANCE(""CURRENCY:USDCHF"")"),"#N/A")</f>
        <v>#N/A</v>
      </c>
      <c r="N18" s="100" t="n">
        <f aca="false">IFERROR(__xludf.dummyfunction("GOOGLEFINANCE(C18,""pe"")"),24.74)</f>
        <v>24.74</v>
      </c>
      <c r="O18" s="141" t="n">
        <f aca="false">J18*N18</f>
        <v>11.6701335654471</v>
      </c>
      <c r="P18" s="100" t="n">
        <f aca="false">IFERROR(__xludf.dummyfunction("GOOGLEFINANCE(C18,""eps"")"),3.18)</f>
        <v>3.18</v>
      </c>
      <c r="Q18" s="122" t="n">
        <f aca="false">P18/E18</f>
        <v>0.0404683125477221</v>
      </c>
      <c r="R18" s="141" t="n">
        <f aca="false">Q18*I18*100*100</f>
        <v>0</v>
      </c>
      <c r="S18" s="122" t="e">
        <f aca="false">H18/P18</f>
        <v>#VALUE!</v>
      </c>
    </row>
    <row r="19" customFormat="false" ht="16.15" hidden="false" customHeight="false" outlineLevel="0" collapsed="false">
      <c r="B19" s="137" t="s">
        <v>397</v>
      </c>
      <c r="C19" s="137" t="s">
        <v>398</v>
      </c>
      <c r="D19" s="137" t="n">
        <v>7</v>
      </c>
      <c r="E19" s="138" t="n">
        <f aca="false">IFERROR(__xludf.dummyfunction("GOOGLEFINANCE(C19,""price"")"),13.95)</f>
        <v>13.95</v>
      </c>
      <c r="F19" s="139" t="n">
        <f aca="false">D19*E19</f>
        <v>97.65</v>
      </c>
      <c r="G19" s="140" t="n">
        <f aca="false">IFERROR(__xludf.dummyfunction("F19*GOOGLEFINANCE(""CURRENCY:USDCHF"")"),76.2753915)</f>
        <v>76.2753915</v>
      </c>
      <c r="H19" s="54" t="str">
        <f aca="false">IFERROR(__xludf.dummyfunction("split(IMPORTXML(concatenate(""https://finance.yahoo.com/quote/"",C19),$J$5),""()"")"),"#N/A")</f>
        <v>#N/A</v>
      </c>
      <c r="I19" s="100"/>
      <c r="J19" s="122" t="n">
        <f aca="false">G19/$G$22</f>
        <v>0.293093615871777</v>
      </c>
      <c r="K19" s="122" t="n">
        <f aca="false">J19*I19</f>
        <v>0</v>
      </c>
      <c r="L19" s="100" t="e">
        <f aca="false">H19*D19</f>
        <v>#VALUE!</v>
      </c>
      <c r="M19" s="141" t="str">
        <f aca="false">IFERROR(__xludf.dummyfunction("L19*GOOGLEFINANCE(""CURRENCY:USDCHF"")"),"#N/A")</f>
        <v>#N/A</v>
      </c>
      <c r="N19" s="100" t="n">
        <f aca="false">IFERROR(__xludf.dummyfunction("GOOGLEFINANCE(C19,""pe"")"),8.11)</f>
        <v>8.11</v>
      </c>
      <c r="O19" s="141" t="n">
        <f aca="false">J19*N19</f>
        <v>2.37698922472011</v>
      </c>
      <c r="P19" s="100" t="n">
        <f aca="false">IFERROR(__xludf.dummyfunction("GOOGLEFINANCE(C19,""eps"")"),1.72)</f>
        <v>1.72</v>
      </c>
      <c r="Q19" s="122" t="n">
        <f aca="false">P19/E19</f>
        <v>0.123297491039427</v>
      </c>
      <c r="R19" s="141" t="n">
        <f aca="false">Q19*I19*100*100</f>
        <v>0</v>
      </c>
      <c r="S19" s="122" t="e">
        <f aca="false">H19/P19</f>
        <v>#VALUE!</v>
      </c>
    </row>
    <row r="20" customFormat="false" ht="16.15" hidden="false" customHeight="false" outlineLevel="0" collapsed="false">
      <c r="B20" s="137" t="s">
        <v>399</v>
      </c>
      <c r="C20" s="137" t="s">
        <v>400</v>
      </c>
      <c r="D20" s="137" t="n">
        <v>3</v>
      </c>
      <c r="E20" s="138" t="n">
        <f aca="false">IFERROR(__xludf.dummyfunction("GOOGLEFINANCE(C20,""price"")"),26.12)</f>
        <v>26.12</v>
      </c>
      <c r="F20" s="139" t="n">
        <f aca="false">D20*E20</f>
        <v>78.36</v>
      </c>
      <c r="G20" s="140" t="n">
        <f aca="false">IFERROR(__xludf.dummyfunction("F20*GOOGLEFINANCE(""CURRENCY:USDCHF"")"),61.2077796)</f>
        <v>61.2077796</v>
      </c>
      <c r="H20" s="54" t="str">
        <f aca="false">IFERROR(__xludf.dummyfunction("split(IMPORTXML(concatenate(""https://finance.yahoo.com/quote/"",C20),$J$5),""()"")"),"#N/A")</f>
        <v>#N/A</v>
      </c>
      <c r="I20" s="100"/>
      <c r="J20" s="122" t="n">
        <f aca="false">G20/$G$22</f>
        <v>0.235195245670379</v>
      </c>
      <c r="K20" s="122" t="n">
        <f aca="false">J20*I20</f>
        <v>0</v>
      </c>
      <c r="L20" s="100" t="e">
        <f aca="false">H20*D20</f>
        <v>#VALUE!</v>
      </c>
      <c r="M20" s="141" t="str">
        <f aca="false">IFERROR(__xludf.dummyfunction("L20*GOOGLEFINANCE(""CURRENCY:USDCHF"")"),"#N/A")</f>
        <v>#N/A</v>
      </c>
      <c r="N20" s="100" t="n">
        <f aca="false">IFERROR(__xludf.dummyfunction("GOOGLEFINANCE(C20,""pe"")"),8.76)</f>
        <v>8.76</v>
      </c>
      <c r="O20" s="141" t="n">
        <f aca="false">J20*N20</f>
        <v>2.06031035207252</v>
      </c>
      <c r="P20" s="100" t="n">
        <f aca="false">IFERROR(__xludf.dummyfunction("GOOGLEFINANCE(C20,""eps"")"),2.98)</f>
        <v>2.98</v>
      </c>
      <c r="Q20" s="122" t="n">
        <f aca="false">P20/E20</f>
        <v>0.114088820826953</v>
      </c>
      <c r="R20" s="141" t="n">
        <f aca="false">Q20*I20*100*100</f>
        <v>0</v>
      </c>
      <c r="S20" s="122" t="e">
        <f aca="false">H20/P20</f>
        <v>#VALUE!</v>
      </c>
    </row>
    <row r="21" customFormat="false" ht="15.75" hidden="false" customHeight="false" outlineLevel="0" collapsed="false">
      <c r="B21" s="2"/>
      <c r="O21" s="5"/>
    </row>
    <row r="22" customFormat="false" ht="15.75" hidden="false" customHeight="false" outlineLevel="0" collapsed="false">
      <c r="F22" s="141" t="n">
        <f aca="false">SUM(F18:F20)</f>
        <v>333.17</v>
      </c>
      <c r="G22" s="141" t="n">
        <f aca="false">SUM(G18:G20)</f>
        <v>260.2424187</v>
      </c>
      <c r="I22" s="122" t="n">
        <f aca="false">SUM(K18:K20)</f>
        <v>0</v>
      </c>
      <c r="L22" s="100" t="e">
        <f aca="false">SUM(L18:L20)</f>
        <v>#VALUE!</v>
      </c>
      <c r="M22" s="100" t="n">
        <f aca="false">SUM(M18:M20)</f>
        <v>0</v>
      </c>
      <c r="N22" s="141" t="n">
        <f aca="false">SUM(O18:O20)</f>
        <v>16.10743314</v>
      </c>
    </row>
    <row r="29" customFormat="false" ht="15.75" hidden="false" customHeight="false" outlineLevel="0" collapsed="false">
      <c r="B29" s="2" t="s">
        <v>401</v>
      </c>
    </row>
    <row r="31" customFormat="false" ht="15.75" hidden="false" customHeight="false" outlineLevel="0" collapsed="false">
      <c r="B31" s="136" t="s">
        <v>381</v>
      </c>
      <c r="C31" s="136" t="s">
        <v>382</v>
      </c>
      <c r="D31" s="136" t="s">
        <v>362</v>
      </c>
      <c r="E31" s="136" t="s">
        <v>383</v>
      </c>
      <c r="F31" s="136" t="s">
        <v>384</v>
      </c>
      <c r="G31" s="136" t="s">
        <v>389</v>
      </c>
      <c r="H31" s="136" t="s">
        <v>391</v>
      </c>
      <c r="I31" s="136" t="s">
        <v>392</v>
      </c>
      <c r="J31" s="136" t="s">
        <v>393</v>
      </c>
      <c r="K31" s="136" t="s">
        <v>394</v>
      </c>
    </row>
    <row r="32" customFormat="false" ht="16.15" hidden="false" customHeight="false" outlineLevel="0" collapsed="false">
      <c r="B32" s="137" t="s">
        <v>402</v>
      </c>
      <c r="C32" s="137" t="s">
        <v>403</v>
      </c>
      <c r="D32" s="138" t="n">
        <f aca="false">IFERROR(__xludf.dummyfunction("GOOGLEFINANCE(C32,""price"")"),152.75)</f>
        <v>152.75</v>
      </c>
      <c r="E32" s="54" t="str">
        <f aca="false">IFERROR(__xludf.dummyfunction("split(IMPORTXML(concatenate(""https://finance.yahoo.com/quote/"",C32),$J$5),""()"")"),"#N/A")</f>
        <v>#N/A</v>
      </c>
      <c r="F32" s="142"/>
      <c r="G32" s="140" t="n">
        <f aca="false">IFERROR(__xludf.dummyfunction("GOOGLEFINANCE(C32,""pe"")"),25.77)</f>
        <v>25.77</v>
      </c>
      <c r="H32" s="100" t="n">
        <f aca="false">IFERROR(__xludf.dummyfunction("GOOGLEFINANCE(C32,""eps"")"),5.93)</f>
        <v>5.93</v>
      </c>
      <c r="I32" s="122" t="n">
        <f aca="false">H32/D32</f>
        <v>0.0388216039279869</v>
      </c>
      <c r="J32" s="141" t="n">
        <f aca="false">F32*I32*100*100</f>
        <v>0</v>
      </c>
      <c r="K32" s="122" t="e">
        <f aca="false">E32/H32</f>
        <v>#VALUE!</v>
      </c>
    </row>
    <row r="33" customFormat="false" ht="16.15" hidden="false" customHeight="false" outlineLevel="0" collapsed="false">
      <c r="B33" s="54" t="s">
        <v>404</v>
      </c>
      <c r="C33" s="54" t="s">
        <v>405</v>
      </c>
      <c r="D33" s="138" t="n">
        <f aca="false">IFERROR(__xludf.dummyfunction("GOOGLEFINANCE(C33,""price"")"),166.38)</f>
        <v>166.38</v>
      </c>
      <c r="E33" s="54" t="str">
        <f aca="false">IFERROR(__xludf.dummyfunction("split(IMPORTXML(concatenate(""https://finance.yahoo.com/quote/"",C33),$J$5),""()"")"),"#N/A")</f>
        <v>#N/A</v>
      </c>
      <c r="F33" s="100"/>
      <c r="G33" s="140" t="n">
        <f aca="false">IFERROR(__xludf.dummyfunction("GOOGLEFINANCE(C33,""pe"")"),23.43)</f>
        <v>23.43</v>
      </c>
      <c r="H33" s="100" t="n">
        <f aca="false">IFERROR(__xludf.dummyfunction("GOOGLEFINANCE(C33,""eps"")"),7.1)</f>
        <v>7.1</v>
      </c>
      <c r="I33" s="122" t="n">
        <f aca="false">H33/D33</f>
        <v>0.0426733982449814</v>
      </c>
      <c r="J33" s="141" t="n">
        <f aca="false">F33*I33*100*100</f>
        <v>0</v>
      </c>
      <c r="K33" s="122" t="e">
        <f aca="false">E33/H33</f>
        <v>#VALUE!</v>
      </c>
      <c r="M33" s="114" t="s">
        <v>406</v>
      </c>
    </row>
    <row r="34" customFormat="false" ht="16.15" hidden="false" customHeight="false" outlineLevel="0" collapsed="false">
      <c r="B34" s="54" t="s">
        <v>407</v>
      </c>
      <c r="C34" s="54" t="s">
        <v>408</v>
      </c>
      <c r="D34" s="138" t="n">
        <f aca="false">IFERROR(__xludf.dummyfunction("GOOGLEFINANCE(C34,""price"")"),89.46)</f>
        <v>89.46</v>
      </c>
      <c r="E34" s="54" t="str">
        <f aca="false">IFERROR(__xludf.dummyfunction("split(IMPORTXML(concatenate(""https://finance.yahoo.com/quote/"",C34),$J$5),""()"")"),"#N/A")</f>
        <v>#N/A</v>
      </c>
      <c r="F34" s="100"/>
      <c r="G34" s="140" t="n">
        <f aca="false">IFERROR(__xludf.dummyfunction("GOOGLEFINANCE(C34,""pe"")"),24.92)</f>
        <v>24.92</v>
      </c>
      <c r="H34" s="100" t="n">
        <f aca="false">IFERROR(__xludf.dummyfunction("GOOGLEFINANCE(C34,""eps"")"),3.59)</f>
        <v>3.59</v>
      </c>
      <c r="I34" s="122" t="n">
        <f aca="false">H34/D34</f>
        <v>0.0401296668902303</v>
      </c>
      <c r="J34" s="141" t="n">
        <f aca="false">F34*I34*100*100</f>
        <v>0</v>
      </c>
      <c r="K34" s="122" t="e">
        <f aca="false">E34/H34</f>
        <v>#VALUE!</v>
      </c>
    </row>
    <row r="35" customFormat="false" ht="16.15" hidden="false" customHeight="false" outlineLevel="0" collapsed="false">
      <c r="B35" s="54" t="s">
        <v>409</v>
      </c>
      <c r="C35" s="54" t="s">
        <v>410</v>
      </c>
      <c r="D35" s="138" t="n">
        <f aca="false">IFERROR(__xludf.dummyfunction("GOOGLEFINANCE(C35,""price"")"),286.64)</f>
        <v>286.64</v>
      </c>
      <c r="E35" s="54" t="str">
        <f aca="false">IFERROR(__xludf.dummyfunction("split(IMPORTXML(concatenate(""https://finance.yahoo.com/quote/"",C35),$J$5),""()"")"),"#N/A")</f>
        <v>#N/A</v>
      </c>
      <c r="F35" s="100"/>
      <c r="G35" s="140" t="n">
        <f aca="false">IFERROR(__xludf.dummyfunction("GOOGLEFINANCE(C35,""pe"")"),23.98)</f>
        <v>23.98</v>
      </c>
      <c r="H35" s="100" t="n">
        <f aca="false">IFERROR(__xludf.dummyfunction("GOOGLEFINANCE(C35,""eps"")"),11.95)</f>
        <v>11.95</v>
      </c>
      <c r="I35" s="122" t="n">
        <f aca="false">H35/D35</f>
        <v>0.0416899246441529</v>
      </c>
      <c r="J35" s="141" t="n">
        <f aca="false">F35*I35*100*100</f>
        <v>0</v>
      </c>
      <c r="K35" s="122" t="e">
        <f aca="false">E35/H35</f>
        <v>#VALUE!</v>
      </c>
    </row>
    <row r="36" customFormat="false" ht="16.15" hidden="false" customHeight="false" outlineLevel="0" collapsed="false">
      <c r="B36" s="54" t="s">
        <v>411</v>
      </c>
      <c r="C36" s="54" t="s">
        <v>412</v>
      </c>
      <c r="D36" s="138" t="n">
        <f aca="false">IFERROR(__xludf.dummyfunction("GOOGLEFINANCE(C36,""price"")"),190.63)</f>
        <v>190.63</v>
      </c>
      <c r="E36" s="54" t="str">
        <f aca="false">IFERROR(__xludf.dummyfunction("split(IMPORTXML(concatenate(""https://finance.yahoo.com/quote/"",C36),$J$5),""()"")"),"#N/A")</f>
        <v>#N/A</v>
      </c>
      <c r="F36" s="100"/>
      <c r="G36" s="140" t="n">
        <f aca="false">IFERROR(__xludf.dummyfunction("GOOGLEFINANCE(C36,""pe"")"),33.09)</f>
        <v>33.09</v>
      </c>
      <c r="H36" s="100" t="n">
        <f aca="false">IFERROR(__xludf.dummyfunction("GOOGLEFINANCE(C36,""eps"")"),5.76)</f>
        <v>5.76</v>
      </c>
      <c r="I36" s="122" t="n">
        <f aca="false">H36/D36</f>
        <v>0.0302156009022714</v>
      </c>
      <c r="J36" s="141" t="n">
        <f aca="false">F36*I36*100*100</f>
        <v>0</v>
      </c>
      <c r="K36" s="122" t="e">
        <f aca="false">E36/H36</f>
        <v>#VALUE!</v>
      </c>
    </row>
    <row r="37" customFormat="false" ht="16.15" hidden="false" customHeight="false" outlineLevel="0" collapsed="false">
      <c r="B37" s="54" t="s">
        <v>413</v>
      </c>
      <c r="C37" s="54" t="s">
        <v>414</v>
      </c>
      <c r="D37" s="138" t="n">
        <f aca="false">IFERROR(__xludf.dummyfunction("GOOGLEFINANCE(C37,""price"")"),80)</f>
        <v>80</v>
      </c>
      <c r="E37" s="54" t="str">
        <f aca="false">IFERROR(__xludf.dummyfunction("split(IMPORTXML(concatenate(""https://finance.yahoo.com/quote/"",C37),$J$5),""()"")"),"#N/A")</f>
        <v>#N/A</v>
      </c>
      <c r="F37" s="100"/>
      <c r="G37" s="140" t="n">
        <f aca="false">IFERROR(__xludf.dummyfunction("GOOGLEFINANCE(C37,""pe"")"),22.34)</f>
        <v>22.34</v>
      </c>
      <c r="H37" s="100" t="n">
        <f aca="false">IFERROR(__xludf.dummyfunction("GOOGLEFINANCE(C37,""eps"")"),3.58)</f>
        <v>3.58</v>
      </c>
      <c r="I37" s="122" t="n">
        <f aca="false">H37/D37</f>
        <v>0.04475</v>
      </c>
      <c r="J37" s="141" t="n">
        <f aca="false">F37*I37*100*100</f>
        <v>0</v>
      </c>
      <c r="K37" s="122" t="e">
        <f aca="false">E37/H37</f>
        <v>#VALUE!</v>
      </c>
    </row>
    <row r="38" customFormat="false" ht="16.15" hidden="false" customHeight="false" outlineLevel="0" collapsed="false">
      <c r="B38" s="54" t="s">
        <v>415</v>
      </c>
      <c r="C38" s="54" t="s">
        <v>416</v>
      </c>
      <c r="D38" s="138" t="n">
        <f aca="false">IFERROR(__xludf.dummyfunction("GOOGLEFINANCE(C38,""price"")"),78.53)</f>
        <v>78.53</v>
      </c>
      <c r="E38" s="54" t="str">
        <f aca="false">IFERROR(__xludf.dummyfunction("split(IMPORTXML(concatenate(""https://finance.yahoo.com/quote/"",C38),$J$5),""()"")"),"#N/A")</f>
        <v>#N/A</v>
      </c>
      <c r="F38" s="100"/>
      <c r="G38" s="140" t="n">
        <f aca="false">IFERROR(__xludf.dummyfunction("GOOGLEFINANCE(C38,""pe"")"),32.17)</f>
        <v>32.17</v>
      </c>
      <c r="H38" s="100" t="n">
        <f aca="false">IFERROR(__xludf.dummyfunction("GOOGLEFINANCE(C38,""eps"")"),2.44)</f>
        <v>2.44</v>
      </c>
      <c r="I38" s="122" t="n">
        <f aca="false">H38/D38</f>
        <v>0.0310709283076531</v>
      </c>
      <c r="J38" s="141" t="n">
        <f aca="false">F38*I38*100*100</f>
        <v>0</v>
      </c>
      <c r="K38" s="122" t="e">
        <f aca="false">E38/H38</f>
        <v>#VALUE!</v>
      </c>
    </row>
    <row r="39" customFormat="false" ht="16.15" hidden="false" customHeight="false" outlineLevel="0" collapsed="false">
      <c r="B39" s="100" t="s">
        <v>417</v>
      </c>
      <c r="C39" s="100" t="s">
        <v>418</v>
      </c>
      <c r="D39" s="138" t="n">
        <f aca="false">IFERROR(__xludf.dummyfunction("GOOGLEFINANCE(C39,""price"")"),142.5)</f>
        <v>142.5</v>
      </c>
      <c r="E39" s="54" t="str">
        <f aca="false">IFERROR(__xludf.dummyfunction("split(IMPORTXML(concatenate(""https://finance.yahoo.com/quote/"",C39),$J$5),""()"")"),"#N/A")</f>
        <v>#N/A</v>
      </c>
      <c r="F39" s="100"/>
      <c r="G39" s="140" t="n">
        <f aca="false">IFERROR(__xludf.dummyfunction("GOOGLEFINANCE(C39,""pe"")"),27.49)</f>
        <v>27.49</v>
      </c>
      <c r="H39" s="100" t="n">
        <f aca="false">IFERROR(__xludf.dummyfunction("GOOGLEFINANCE(C39,""eps"")"),5.18)</f>
        <v>5.18</v>
      </c>
      <c r="I39" s="122" t="n">
        <f aca="false">H39/D39</f>
        <v>0.0363508771929825</v>
      </c>
      <c r="J39" s="141" t="n">
        <f aca="false">F39*I39*100*100</f>
        <v>0</v>
      </c>
      <c r="K39" s="122" t="e">
        <f aca="false">E39/H39</f>
        <v>#VALUE!</v>
      </c>
    </row>
    <row r="40" customFormat="false" ht="16.15" hidden="false" customHeight="false" outlineLevel="0" collapsed="false">
      <c r="B40" s="100" t="s">
        <v>419</v>
      </c>
      <c r="C40" s="100" t="s">
        <v>420</v>
      </c>
      <c r="D40" s="138" t="n">
        <f aca="false">IFERROR(__xludf.dummyfunction("GOOGLEFINANCE(C40,""price"")"),112.88)</f>
        <v>112.88</v>
      </c>
      <c r="E40" s="54" t="str">
        <f aca="false">IFERROR(__xludf.dummyfunction("split(IMPORTXML(concatenate(""https://finance.yahoo.com/quote/"",C40),$J$5),""()"")"),"#N/A")</f>
        <v>#N/A</v>
      </c>
      <c r="F40" s="100"/>
      <c r="G40" s="140" t="n">
        <f aca="false">IFERROR(__xludf.dummyfunction("GOOGLEFINANCE(C40,""pe"")"),12.81)</f>
        <v>12.81</v>
      </c>
      <c r="H40" s="100" t="n">
        <f aca="false">IFERROR(__xludf.dummyfunction("GOOGLEFINANCE(C40,""eps"")"),8.81)</f>
        <v>8.81</v>
      </c>
      <c r="I40" s="122" t="n">
        <f aca="false">H40/D40</f>
        <v>0.0780474840538625</v>
      </c>
      <c r="J40" s="141" t="n">
        <f aca="false">F40*I40*100*100</f>
        <v>0</v>
      </c>
      <c r="K40" s="122" t="e">
        <f aca="false">E40/H40</f>
        <v>#VALUE!</v>
      </c>
    </row>
    <row r="41" customFormat="false" ht="16.15" hidden="false" customHeight="false" outlineLevel="0" collapsed="false">
      <c r="B41" s="100" t="s">
        <v>421</v>
      </c>
      <c r="C41" s="100" t="s">
        <v>422</v>
      </c>
      <c r="D41" s="138" t="n">
        <f aca="false">IFERROR(__xludf.dummyfunction("GOOGLEFINANCE(C41,""price"")"),206.6)</f>
        <v>206.6</v>
      </c>
      <c r="E41" s="54" t="str">
        <f aca="false">IFERROR(__xludf.dummyfunction("split(IMPORTXML(concatenate(""https://finance.yahoo.com/quote/"",C41),$J$5),""()"")"),"#N/A")</f>
        <v>#N/A</v>
      </c>
      <c r="F41" s="100"/>
      <c r="G41" s="140" t="n">
        <f aca="false">IFERROR(__xludf.dummyfunction("GOOGLEFINANCE(C41,""pe"")"),87.51)</f>
        <v>87.51</v>
      </c>
      <c r="H41" s="100" t="n">
        <f aca="false">IFERROR(__xludf.dummyfunction("GOOGLEFINANCE(C41,""eps"")"),2.36)</f>
        <v>2.36</v>
      </c>
      <c r="I41" s="122" t="n">
        <f aca="false">H41/D41</f>
        <v>0.0114230396902227</v>
      </c>
      <c r="J41" s="141" t="n">
        <f aca="false">F41*I41*100*100</f>
        <v>0</v>
      </c>
      <c r="K41" s="122" t="e">
        <f aca="false">E41/H41</f>
        <v>#VALUE!</v>
      </c>
    </row>
    <row r="42" customFormat="false" ht="16.15" hidden="false" customHeight="false" outlineLevel="0" collapsed="false">
      <c r="B42" s="100" t="s">
        <v>423</v>
      </c>
      <c r="C42" s="100" t="s">
        <v>424</v>
      </c>
      <c r="D42" s="138" t="n">
        <f aca="false">IFERROR(__xludf.dummyfunction("GOOGLEFINANCE(C42,""price"")"),301.07)</f>
        <v>301.07</v>
      </c>
      <c r="E42" s="54" t="str">
        <f aca="false">IFERROR(__xludf.dummyfunction("split(IMPORTXML(concatenate(""https://finance.yahoo.com/quote/"",C42),$J$5),""()"")"),"#N/A")</f>
        <v>#N/A</v>
      </c>
      <c r="F42" s="100"/>
      <c r="G42" s="140" t="n">
        <f aca="false">IFERROR(__xludf.dummyfunction("GOOGLEFINANCE(C42,""pe"")"),31.85)</f>
        <v>31.85</v>
      </c>
      <c r="H42" s="100" t="n">
        <f aca="false">IFERROR(__xludf.dummyfunction("GOOGLEFINANCE(C42,""eps"")"),9.45)</f>
        <v>9.45</v>
      </c>
      <c r="I42" s="122" t="n">
        <f aca="false">H42/D42</f>
        <v>0.0313880492908626</v>
      </c>
      <c r="J42" s="141" t="n">
        <f aca="false">F42*I42*100*100</f>
        <v>0</v>
      </c>
      <c r="K42" s="122" t="e">
        <f aca="false">E42/H42</f>
        <v>#VALUE!</v>
      </c>
    </row>
    <row r="43" customFormat="false" ht="16.15" hidden="false" customHeight="false" outlineLevel="0" collapsed="false">
      <c r="B43" s="100" t="s">
        <v>425</v>
      </c>
      <c r="C43" s="100" t="s">
        <v>426</v>
      </c>
      <c r="D43" s="138" t="n">
        <f aca="false">IFERROR(__xludf.dummyfunction("GOOGLEFINANCE(C43,""price"")"),60.35)</f>
        <v>60.35</v>
      </c>
      <c r="E43" s="54" t="str">
        <f aca="false">IFERROR(__xludf.dummyfunction("split(IMPORTXML(concatenate(""https://finance.yahoo.com/quote/"",C43),$J$5),""()"")"),"#N/A")</f>
        <v>#N/A</v>
      </c>
      <c r="F43" s="100"/>
      <c r="G43" s="140" t="n">
        <f aca="false">IFERROR(__xludf.dummyfunction("GOOGLEFINANCE(C43,""pe"")"),16.1)</f>
        <v>16.1</v>
      </c>
      <c r="H43" s="100" t="n">
        <f aca="false">IFERROR(__xludf.dummyfunction("GOOGLEFINANCE(C43,""eps"")"),3.75)</f>
        <v>3.75</v>
      </c>
      <c r="I43" s="122" t="n">
        <f aca="false">H43/D43</f>
        <v>0.0621375310687655</v>
      </c>
      <c r="J43" s="141" t="n">
        <f aca="false">F43*I43*100*100</f>
        <v>0</v>
      </c>
      <c r="K43" s="122" t="e">
        <f aca="false">E43/H43</f>
        <v>#VALUE!</v>
      </c>
    </row>
    <row r="44" customFormat="false" ht="16.15" hidden="false" customHeight="false" outlineLevel="0" collapsed="false">
      <c r="B44" s="100" t="s">
        <v>427</v>
      </c>
      <c r="C44" s="100" t="s">
        <v>428</v>
      </c>
      <c r="D44" s="138" t="n">
        <f aca="false">IFERROR(__xludf.dummyfunction("GOOGLEFINANCE(C44,""price"")"),74.94)</f>
        <v>74.94</v>
      </c>
      <c r="E44" s="54" t="str">
        <f aca="false">IFERROR(__xludf.dummyfunction("split(IMPORTXML(concatenate(""https://finance.yahoo.com/quote/"",C44),$J$5),""()"")"),"#N/A")</f>
        <v>#N/A</v>
      </c>
      <c r="F44" s="100"/>
      <c r="G44" s="140" t="n">
        <f aca="false">IFERROR(__xludf.dummyfunction("GOOGLEFINANCE(C44,""pe"")"),33.65)</f>
        <v>33.65</v>
      </c>
      <c r="H44" s="100" t="n">
        <f aca="false">IFERROR(__xludf.dummyfunction("GOOGLEFINANCE(C44,""eps"")"),2.23)</f>
        <v>2.23</v>
      </c>
      <c r="I44" s="122" t="n">
        <f aca="false">H44/D44</f>
        <v>0.029757139044569</v>
      </c>
      <c r="J44" s="141" t="n">
        <f aca="false">F44*I44*100*100</f>
        <v>0</v>
      </c>
      <c r="K44" s="122" t="e">
        <f aca="false">E44/H44</f>
        <v>#VALUE!</v>
      </c>
    </row>
    <row r="45" customFormat="false" ht="16.15" hidden="false" customHeight="false" outlineLevel="0" collapsed="false">
      <c r="B45" s="100" t="s">
        <v>399</v>
      </c>
      <c r="C45" s="100" t="s">
        <v>400</v>
      </c>
      <c r="D45" s="138" t="n">
        <f aca="false">IFERROR(__xludf.dummyfunction("GOOGLEFINANCE(C45,""price"")"),26.12)</f>
        <v>26.12</v>
      </c>
      <c r="E45" s="54" t="str">
        <f aca="false">IFERROR(__xludf.dummyfunction("split(IMPORTXML(concatenate(""https://finance.yahoo.com/quote/"",C45),$J$5),""()"")"),"#N/A")</f>
        <v>#N/A</v>
      </c>
      <c r="F45" s="100"/>
      <c r="G45" s="140" t="n">
        <f aca="false">IFERROR(__xludf.dummyfunction("GOOGLEFINANCE(C45,""pe"")"),8.76)</f>
        <v>8.76</v>
      </c>
      <c r="H45" s="100" t="n">
        <f aca="false">IFERROR(__xludf.dummyfunction("GOOGLEFINANCE(C45,""eps"")"),2.98)</f>
        <v>2.98</v>
      </c>
      <c r="I45" s="122" t="n">
        <f aca="false">H45/D45</f>
        <v>0.114088820826953</v>
      </c>
      <c r="J45" s="141" t="n">
        <f aca="false">F45*I45*100*100</f>
        <v>0</v>
      </c>
      <c r="K45" s="122" t="e">
        <f aca="false">E45/H45</f>
        <v>#VALUE!</v>
      </c>
    </row>
    <row r="46" customFormat="false" ht="16.15" hidden="false" customHeight="false" outlineLevel="0" collapsed="false">
      <c r="B46" s="100" t="s">
        <v>429</v>
      </c>
      <c r="C46" s="100" t="s">
        <v>430</v>
      </c>
      <c r="D46" s="138" t="n">
        <f aca="false">IFERROR(__xludf.dummyfunction("GOOGLEFINANCE(C46,""price"")"),214.21)</f>
        <v>214.21</v>
      </c>
      <c r="E46" s="54" t="str">
        <f aca="false">IFERROR(__xludf.dummyfunction("split(IMPORTXML(concatenate(""https://finance.yahoo.com/quote/"",C46),$J$5),""()"")"),"#N/A")</f>
        <v>#N/A</v>
      </c>
      <c r="F46" s="100"/>
      <c r="G46" s="140" t="n">
        <f aca="false">IFERROR(__xludf.dummyfunction("GOOGLEFINANCE(C46,""pe"")"),19.96)</f>
        <v>19.96</v>
      </c>
      <c r="H46" s="100" t="n">
        <f aca="false">IFERROR(__xludf.dummyfunction("GOOGLEFINANCE(C46,""eps"")"),10.73)</f>
        <v>10.73</v>
      </c>
      <c r="I46" s="122" t="n">
        <f aca="false">H46/D46</f>
        <v>0.0500910321646982</v>
      </c>
      <c r="J46" s="141" t="n">
        <f aca="false">F46*I46*100*100</f>
        <v>0</v>
      </c>
      <c r="K46" s="122" t="e">
        <f aca="false">E46/H46</f>
        <v>#VALUE!</v>
      </c>
    </row>
    <row r="47" customFormat="false" ht="16.15" hidden="false" customHeight="false" outlineLevel="0" collapsed="false">
      <c r="B47" s="100" t="s">
        <v>431</v>
      </c>
      <c r="C47" s="100" t="s">
        <v>432</v>
      </c>
      <c r="D47" s="138" t="n">
        <f aca="false">IFERROR(__xludf.dummyfunction("GOOGLEFINANCE(C47,""price"")"),149.31)</f>
        <v>149.31</v>
      </c>
      <c r="E47" s="54" t="str">
        <f aca="false">IFERROR(__xludf.dummyfunction("split(IMPORTXML(concatenate(""https://finance.yahoo.com/quote/"",C47),$J$5),""()"")"),"#N/A")</f>
        <v>#N/A</v>
      </c>
      <c r="F47" s="100"/>
      <c r="G47" s="140" t="n">
        <f aca="false">IFERROR(__xludf.dummyfunction("GOOGLEFINANCE(C47,""pe"")"),24.41)</f>
        <v>24.41</v>
      </c>
      <c r="H47" s="100" t="n">
        <f aca="false">IFERROR(__xludf.dummyfunction("GOOGLEFINANCE(C47,""eps"")"),6.12)</f>
        <v>6.12</v>
      </c>
      <c r="I47" s="122" t="n">
        <f aca="false">H47/D47</f>
        <v>0.0409885473176612</v>
      </c>
      <c r="J47" s="141" t="n">
        <f aca="false">F47*I47*100*100</f>
        <v>0</v>
      </c>
      <c r="K47" s="122" t="e">
        <f aca="false">E47/H47</f>
        <v>#VALUE!</v>
      </c>
    </row>
    <row r="48" customFormat="false" ht="16.15" hidden="false" customHeight="false" outlineLevel="0" collapsed="false">
      <c r="B48" s="100" t="s">
        <v>433</v>
      </c>
      <c r="C48" s="100" t="s">
        <v>434</v>
      </c>
      <c r="D48" s="138" t="n">
        <f aca="false">IFERROR(__xludf.dummyfunction("GOOGLEFINANCE(C48,""price"")"),162.05)</f>
        <v>162.05</v>
      </c>
      <c r="E48" s="54" t="str">
        <f aca="false">IFERROR(__xludf.dummyfunction("split(IMPORTXML(concatenate(""https://finance.yahoo.com/quote/"",C48),$J$5),""()"")"),"#N/A")</f>
        <v>#N/A</v>
      </c>
      <c r="F48" s="100"/>
      <c r="G48" s="140" t="n">
        <f aca="false">IFERROR(__xludf.dummyfunction("GOOGLEFINANCE(C48,""pe"")"),9.26)</f>
        <v>9.26</v>
      </c>
      <c r="H48" s="100" t="n">
        <f aca="false">IFERROR(__xludf.dummyfunction("GOOGLEFINANCE(C48,""eps"")"),17.49)</f>
        <v>17.49</v>
      </c>
      <c r="I48" s="122" t="n">
        <f aca="false">H48/D48</f>
        <v>0.107929651342178</v>
      </c>
      <c r="J48" s="141" t="n">
        <f aca="false">F48*I48*100*100</f>
        <v>0</v>
      </c>
      <c r="K48" s="122" t="e">
        <f aca="false">E48/H48</f>
        <v>#VALUE!</v>
      </c>
    </row>
    <row r="49" customFormat="false" ht="16.15" hidden="false" customHeight="false" outlineLevel="0" collapsed="false">
      <c r="B49" s="100" t="s">
        <v>435</v>
      </c>
      <c r="C49" s="100" t="s">
        <v>436</v>
      </c>
      <c r="D49" s="138" t="n">
        <f aca="false">IFERROR(__xludf.dummyfunction("GOOGLEFINANCE(C49,""price"")"),169.61)</f>
        <v>169.61</v>
      </c>
      <c r="E49" s="54" t="str">
        <f aca="false">IFERROR(__xludf.dummyfunction("split(IMPORTXML(concatenate(""https://finance.yahoo.com/quote/"",C49),$J$5),""()"")"),"#N/A")</f>
        <v>#N/A</v>
      </c>
      <c r="F49" s="100"/>
      <c r="G49" s="140" t="n">
        <f aca="false">IFERROR(__xludf.dummyfunction("GOOGLEFINANCE(C49,""pe"")"),35.79)</f>
        <v>35.79</v>
      </c>
      <c r="H49" s="100" t="n">
        <f aca="false">IFERROR(__xludf.dummyfunction("GOOGLEFINANCE(C49,""eps"")"),4.74)</f>
        <v>4.74</v>
      </c>
      <c r="I49" s="122" t="n">
        <f aca="false">H49/D49</f>
        <v>0.027946465420671</v>
      </c>
      <c r="J49" s="141" t="n">
        <f aca="false">F49*I49*100*100</f>
        <v>0</v>
      </c>
      <c r="K49" s="122" t="e">
        <f aca="false">E49/H49</f>
        <v>#VALUE!</v>
      </c>
    </row>
    <row r="50" customFormat="false" ht="16.15" hidden="false" customHeight="false" outlineLevel="0" collapsed="false">
      <c r="B50" s="100" t="s">
        <v>437</v>
      </c>
      <c r="C50" s="100" t="s">
        <v>438</v>
      </c>
      <c r="D50" s="138" t="n">
        <f aca="false">IFERROR(__xludf.dummyfunction("GOOGLEFINANCE(C50,""price"")"),87.11)</f>
        <v>87.11</v>
      </c>
      <c r="E50" s="54" t="str">
        <f aca="false">IFERROR(__xludf.dummyfunction("split(IMPORTXML(concatenate(""https://finance.yahoo.com/quote/"",C50),$J$5),""()"")"),"#N/A")</f>
        <v>#N/A</v>
      </c>
      <c r="F50" s="100"/>
      <c r="G50" s="140" t="n">
        <f aca="false">IFERROR(__xludf.dummyfunction("GOOGLEFINANCE(C50,""pe"")"),14.15)</f>
        <v>14.15</v>
      </c>
      <c r="H50" s="100" t="n">
        <f aca="false">IFERROR(__xludf.dummyfunction("GOOGLEFINANCE(C50,""eps"")"),6.16)</f>
        <v>6.16</v>
      </c>
      <c r="I50" s="122" t="n">
        <f aca="false">H50/D50</f>
        <v>0.0707151876937206</v>
      </c>
      <c r="J50" s="141" t="n">
        <f aca="false">F50*I50*100*100</f>
        <v>0</v>
      </c>
      <c r="K50" s="122" t="e">
        <f aca="false">E50/H50</f>
        <v>#VALUE!</v>
      </c>
    </row>
    <row r="51" customFormat="false" ht="16.15" hidden="false" customHeight="false" outlineLevel="0" collapsed="false">
      <c r="B51" s="100" t="s">
        <v>439</v>
      </c>
      <c r="C51" s="100" t="s">
        <v>396</v>
      </c>
      <c r="D51" s="138" t="n">
        <f aca="false">IFERROR(__xludf.dummyfunction("GOOGLEFINANCE(C51,""price"")"),78.58)</f>
        <v>78.58</v>
      </c>
      <c r="E51" s="54" t="str">
        <f aca="false">IFERROR(__xludf.dummyfunction("split(IMPORTXML(concatenate(""https://finance.yahoo.com/quote/"",C51),$J$5),""()"")"),"#N/A")</f>
        <v>#N/A</v>
      </c>
      <c r="F51" s="100"/>
      <c r="G51" s="140" t="n">
        <f aca="false">IFERROR(__xludf.dummyfunction("GOOGLEFINANCE(C51,""pe"")"),24.74)</f>
        <v>24.74</v>
      </c>
      <c r="H51" s="100" t="n">
        <f aca="false">IFERROR(__xludf.dummyfunction("GOOGLEFINANCE(C51,""eps"")"),3.18)</f>
        <v>3.18</v>
      </c>
      <c r="I51" s="122" t="n">
        <f aca="false">H51/D51</f>
        <v>0.0404683125477221</v>
      </c>
      <c r="J51" s="141" t="n">
        <f aca="false">F51*I51*100*100</f>
        <v>0</v>
      </c>
      <c r="K51" s="122" t="e">
        <f aca="false">E51/H51</f>
        <v>#VALUE!</v>
      </c>
    </row>
    <row r="52" customFormat="false" ht="16.15" hidden="false" customHeight="false" outlineLevel="0" collapsed="false">
      <c r="B52" s="100" t="s">
        <v>440</v>
      </c>
      <c r="C52" s="100" t="s">
        <v>441</v>
      </c>
      <c r="D52" s="138" t="n">
        <f aca="false">IFERROR(__xludf.dummyfunction("GOOGLEFINANCE(C52,""price"")"),87.26)</f>
        <v>87.26</v>
      </c>
      <c r="E52" s="54" t="str">
        <f aca="false">IFERROR(__xludf.dummyfunction("split(IMPORTXML(concatenate(""https://finance.yahoo.com/quote/"",C52),$J$5),""()"")"),"#N/A")</f>
        <v>#N/A</v>
      </c>
      <c r="F52" s="100"/>
      <c r="G52" s="140" t="n">
        <f aca="false">IFERROR(__xludf.dummyfunction("GOOGLEFINANCE(C52,""pe"")"),33.2)</f>
        <v>33.2</v>
      </c>
      <c r="H52" s="100" t="n">
        <f aca="false">IFERROR(__xludf.dummyfunction("GOOGLEFINANCE(C52,""eps"")"),2.63)</f>
        <v>2.63</v>
      </c>
      <c r="I52" s="122" t="n">
        <f aca="false">H52/D52</f>
        <v>0.0301398120559248</v>
      </c>
      <c r="J52" s="141" t="n">
        <f aca="false">F52*I52*100*100</f>
        <v>0</v>
      </c>
      <c r="K52" s="122" t="e">
        <f aca="false">E52/H52</f>
        <v>#VALUE!</v>
      </c>
    </row>
    <row r="53" customFormat="false" ht="16.15" hidden="false" customHeight="false" outlineLevel="0" collapsed="false">
      <c r="B53" s="100" t="s">
        <v>442</v>
      </c>
      <c r="C53" s="100" t="s">
        <v>443</v>
      </c>
      <c r="D53" s="138" t="n">
        <f aca="false">IFERROR(__xludf.dummyfunction("GOOGLEFINANCE(C53,""price"")"),110.49)</f>
        <v>110.49</v>
      </c>
      <c r="E53" s="54" t="str">
        <f aca="false">IFERROR(__xludf.dummyfunction("split(IMPORTXML(concatenate(""https://finance.yahoo.com/quote/"",C53),$J$5),""()"")"),"#N/A")</f>
        <v>#N/A</v>
      </c>
      <c r="F53" s="100"/>
      <c r="G53" s="140" t="n">
        <f aca="false">IFERROR(__xludf.dummyfunction("GOOGLEFINANCE(C53,""pe"")"),19.59)</f>
        <v>19.59</v>
      </c>
      <c r="H53" s="100" t="n">
        <f aca="false">IFERROR(__xludf.dummyfunction("GOOGLEFINANCE(C53,""eps"")"),5.64)</f>
        <v>5.64</v>
      </c>
      <c r="I53" s="122" t="n">
        <f aca="false">1/17</f>
        <v>0.05882352941</v>
      </c>
      <c r="J53" s="141" t="n">
        <f aca="false">F53*I53*100*100</f>
        <v>0</v>
      </c>
      <c r="K53" s="122" t="e">
        <f aca="false">E53/H53</f>
        <v>#VALUE!</v>
      </c>
      <c r="O53" s="2" t="s">
        <v>444</v>
      </c>
    </row>
    <row r="54" customFormat="false" ht="16.15" hidden="false" customHeight="false" outlineLevel="0" collapsed="false">
      <c r="B54" s="100" t="s">
        <v>445</v>
      </c>
      <c r="C54" s="100" t="s">
        <v>446</v>
      </c>
      <c r="D54" s="138" t="n">
        <f aca="false">IFERROR(__xludf.dummyfunction("GOOGLEFINANCE(C54,""price"")"),225.79)</f>
        <v>225.79</v>
      </c>
      <c r="E54" s="54" t="str">
        <f aca="false">IFERROR(__xludf.dummyfunction("split(IMPORTXML(concatenate(""https://finance.yahoo.com/quote/"",C54),$J$5),""()"")"),"#N/A")</f>
        <v>#N/A</v>
      </c>
      <c r="F54" s="100"/>
      <c r="G54" s="140" t="n">
        <f aca="false">IFERROR(__xludf.dummyfunction("GOOGLEFINANCE(C54,""pe"")"),28.13)</f>
        <v>28.13</v>
      </c>
      <c r="H54" s="100" t="n">
        <f aca="false">IFERROR(__xludf.dummyfunction("GOOGLEFINANCE(C54,""eps"")"),8.03)</f>
        <v>8.03</v>
      </c>
      <c r="I54" s="122" t="n">
        <f aca="false">H54/D54</f>
        <v>0.0355640196642898</v>
      </c>
      <c r="J54" s="141" t="n">
        <f aca="false">F54*I54*100*100</f>
        <v>0</v>
      </c>
      <c r="K54" s="122" t="e">
        <f aca="false">E54/H54</f>
        <v>#VALUE!</v>
      </c>
    </row>
    <row r="55" customFormat="false" ht="16.15" hidden="false" customHeight="false" outlineLevel="0" collapsed="false">
      <c r="B55" s="100" t="s">
        <v>447</v>
      </c>
      <c r="C55" s="100" t="s">
        <v>448</v>
      </c>
      <c r="D55" s="138" t="n">
        <f aca="false">IFERROR(__xludf.dummyfunction("GOOGLEFINANCE(C55,""price"")"),259.51)</f>
        <v>259.51</v>
      </c>
      <c r="E55" s="54" t="str">
        <f aca="false">IFERROR(__xludf.dummyfunction("split(IMPORTXML(concatenate(""https://finance.yahoo.com/quote/"",C55),$J$5),""()"")"),"#N/A")</f>
        <v>#N/A</v>
      </c>
      <c r="F55" s="100"/>
      <c r="G55" s="140" t="n">
        <f aca="false">IFERROR(__xludf.dummyfunction("GOOGLEFINANCE(C55,""pe"")"),35.11)</f>
        <v>35.11</v>
      </c>
      <c r="H55" s="100" t="n">
        <f aca="false">IFERROR(__xludf.dummyfunction("GOOGLEFINANCE(C55,""eps"")"),7.39)</f>
        <v>7.39</v>
      </c>
      <c r="I55" s="122" t="n">
        <f aca="false">H55/D55</f>
        <v>0.0284767446341181</v>
      </c>
      <c r="J55" s="141" t="n">
        <f aca="false">F55*I55*100*100</f>
        <v>0</v>
      </c>
      <c r="K55" s="122" t="e">
        <f aca="false">E55/H55</f>
        <v>#VALUE!</v>
      </c>
    </row>
    <row r="56" customFormat="false" ht="16.15" hidden="false" customHeight="false" outlineLevel="0" collapsed="false">
      <c r="B56" s="100" t="s">
        <v>449</v>
      </c>
      <c r="C56" s="100" t="s">
        <v>450</v>
      </c>
      <c r="D56" s="138" t="n">
        <f aca="false">IFERROR(__xludf.dummyfunction("GOOGLEFINANCE(C56,""price"")"),137.45)</f>
        <v>137.45</v>
      </c>
      <c r="E56" s="54" t="str">
        <f aca="false">IFERROR(__xludf.dummyfunction("split(IMPORTXML(concatenate(""https://finance.yahoo.com/quote/"",C56),$J$5),""()"")"),"#N/A")</f>
        <v>#N/A</v>
      </c>
      <c r="F56" s="100"/>
      <c r="G56" s="140" t="n">
        <f aca="false">IFERROR(__xludf.dummyfunction("GOOGLEFINANCE(C56,""pe"")"),33.6)</f>
        <v>33.6</v>
      </c>
      <c r="H56" s="100" t="n">
        <f aca="false">IFERROR(__xludf.dummyfunction("GOOGLEFINANCE(C56,""eps"")"),4.09)</f>
        <v>4.09</v>
      </c>
      <c r="I56" s="122" t="n">
        <f aca="false">H56/D56</f>
        <v>0.0297562750090942</v>
      </c>
      <c r="J56" s="141" t="n">
        <f aca="false">F56*I56*100*100</f>
        <v>0</v>
      </c>
      <c r="K56" s="122" t="e">
        <f aca="false">E56/H56</f>
        <v>#VALUE!</v>
      </c>
    </row>
    <row r="57" customFormat="false" ht="16.15" hidden="false" customHeight="false" outlineLevel="0" collapsed="false">
      <c r="B57" s="100" t="s">
        <v>451</v>
      </c>
      <c r="C57" s="100" t="s">
        <v>452</v>
      </c>
      <c r="D57" s="138" t="n">
        <f aca="false">IFERROR(__xludf.dummyfunction("GOOGLEFINANCE(C57,""price"")"),115.32)</f>
        <v>115.32</v>
      </c>
      <c r="E57" s="54" t="str">
        <f aca="false">IFERROR(__xludf.dummyfunction("split(IMPORTXML(concatenate(""https://finance.yahoo.com/quote/"",C57),$J$5),""()"")"),"#N/A")</f>
        <v>#N/A</v>
      </c>
      <c r="F57" s="100"/>
      <c r="G57" s="140" t="n">
        <f aca="false">IFERROR(__xludf.dummyfunction("GOOGLEFINANCE(C57,""pe"")"),24.65)</f>
        <v>24.65</v>
      </c>
      <c r="H57" s="100" t="n">
        <f aca="false">IFERROR(__xludf.dummyfunction("GOOGLEFINANCE(C57,""eps"")"),4.68)</f>
        <v>4.68</v>
      </c>
      <c r="I57" s="122" t="n">
        <f aca="false">H57/D57</f>
        <v>0.040582726326743</v>
      </c>
      <c r="J57" s="141" t="n">
        <f aca="false">F57*I57*100*100</f>
        <v>0</v>
      </c>
      <c r="K57" s="122" t="e">
        <f aca="false">E57/H57</f>
        <v>#VALUE!</v>
      </c>
    </row>
    <row r="58" customFormat="false" ht="16.15" hidden="false" customHeight="false" outlineLevel="0" collapsed="false">
      <c r="B58" s="100" t="s">
        <v>453</v>
      </c>
      <c r="C58" s="100" t="s">
        <v>454</v>
      </c>
      <c r="D58" s="138" t="n">
        <f aca="false">IFERROR(__xludf.dummyfunction("GOOGLEFINANCE(C58,""price"")"),29.84)</f>
        <v>29.84</v>
      </c>
      <c r="E58" s="54" t="str">
        <f aca="false">IFERROR(__xludf.dummyfunction("split(IMPORTXML(concatenate(""https://finance.yahoo.com/quote/"",C58),$J$5),""()"")"),"#N/A")</f>
        <v>#N/A</v>
      </c>
      <c r="F58" s="100"/>
      <c r="G58" s="140" t="n">
        <f aca="false">IFERROR(__xludf.dummyfunction("GOOGLEFINANCE(C58,""pe"")"),22.79)</f>
        <v>22.79</v>
      </c>
      <c r="H58" s="100" t="n">
        <f aca="false">IFERROR(__xludf.dummyfunction("GOOGLEFINANCE(C58,""eps"")"),1.31)</f>
        <v>1.31</v>
      </c>
      <c r="I58" s="122" t="n">
        <f aca="false">H58/D58</f>
        <v>0.0439008042895442</v>
      </c>
      <c r="J58" s="141" t="n">
        <f aca="false">F58*I58*100*100</f>
        <v>0</v>
      </c>
      <c r="K58" s="122" t="e">
        <f aca="false">E58/H58</f>
        <v>#VALUE!</v>
      </c>
      <c r="M58" s="114" t="s">
        <v>406</v>
      </c>
    </row>
    <row r="59" customFormat="false" ht="16.15" hidden="false" customHeight="false" outlineLevel="0" collapsed="false">
      <c r="B59" s="100" t="s">
        <v>455</v>
      </c>
      <c r="C59" s="100" t="s">
        <v>456</v>
      </c>
      <c r="D59" s="138" t="n">
        <f aca="false">IFERROR(__xludf.dummyfunction("GOOGLEFINANCE(C59,""price"")"),345.84)</f>
        <v>345.84</v>
      </c>
      <c r="E59" s="54" t="str">
        <f aca="false">IFERROR(__xludf.dummyfunction("split(IMPORTXML(concatenate(""https://finance.yahoo.com/quote/"",C59),$J$5),""()"")"),"#N/A")</f>
        <v>#N/A</v>
      </c>
      <c r="F59" s="100"/>
      <c r="G59" s="140" t="n">
        <f aca="false">IFERROR(__xludf.dummyfunction("GOOGLEFINANCE(C59,""pe"")"),21.76)</f>
        <v>21.76</v>
      </c>
      <c r="H59" s="100" t="n">
        <f aca="false">IFERROR(__xludf.dummyfunction("GOOGLEFINANCE(C59,""eps"")"),15.9)</f>
        <v>15.9</v>
      </c>
      <c r="I59" s="122" t="n">
        <f aca="false">H59/D59</f>
        <v>0.0459750173490632</v>
      </c>
      <c r="J59" s="141" t="n">
        <f aca="false">F59*I59*100*100</f>
        <v>0</v>
      </c>
      <c r="K59" s="122" t="e">
        <f aca="false">E59/H59</f>
        <v>#VALUE!</v>
      </c>
    </row>
    <row r="60" customFormat="false" ht="16.15" hidden="false" customHeight="false" outlineLevel="0" collapsed="false">
      <c r="B60" s="100" t="s">
        <v>457</v>
      </c>
      <c r="C60" s="100" t="s">
        <v>458</v>
      </c>
      <c r="D60" s="138" t="n">
        <f aca="false">IFERROR(__xludf.dummyfunction("GOOGLEFINANCE(C60,""price"")"),104.99)</f>
        <v>104.99</v>
      </c>
      <c r="E60" s="54" t="str">
        <f aca="false">IFERROR(__xludf.dummyfunction("split(IMPORTXML(concatenate(""https://finance.yahoo.com/quote/"",C60),$J$5),""()"")"),"#N/A")</f>
        <v>#N/A</v>
      </c>
      <c r="F60" s="100"/>
      <c r="G60" s="140" t="n">
        <f aca="false">IFERROR(__xludf.dummyfunction("GOOGLEFINANCE(C60,""pe"")"),243.7)</f>
        <v>243.7</v>
      </c>
      <c r="H60" s="100" t="n">
        <f aca="false">IFERROR(__xludf.dummyfunction("GOOGLEFINANCE(C60,""eps"")"),0.43)</f>
        <v>0.43</v>
      </c>
      <c r="I60" s="122" t="n">
        <f aca="false">H60/D60</f>
        <v>0.00409562815506239</v>
      </c>
      <c r="J60" s="141" t="n">
        <f aca="false">F60*I60*100*100</f>
        <v>0</v>
      </c>
      <c r="K60" s="122" t="e">
        <f aca="false">E60/H60</f>
        <v>#VALUE!</v>
      </c>
    </row>
    <row r="61" customFormat="false" ht="16.15" hidden="false" customHeight="false" outlineLevel="0" collapsed="false">
      <c r="B61" s="100" t="s">
        <v>459</v>
      </c>
      <c r="C61" s="100" t="s">
        <v>460</v>
      </c>
      <c r="D61" s="138" t="n">
        <f aca="false">IFERROR(__xludf.dummyfunction("GOOGLEFINANCE(C61,""price"")"),1148.62)</f>
        <v>1148.62</v>
      </c>
      <c r="E61" s="54" t="str">
        <f aca="false">IFERROR(__xludf.dummyfunction("split(IMPORTXML(concatenate(""https://finance.yahoo.com/quote/"",C61),$J$5),""()"")"),"#N/A")</f>
        <v>#N/A</v>
      </c>
      <c r="F61" s="100"/>
      <c r="G61" s="140" t="n">
        <f aca="false">IFERROR(__xludf.dummyfunction("GOOGLEFINANCE(C61,""pe"")"),32.32)</f>
        <v>32.32</v>
      </c>
      <c r="H61" s="100" t="n">
        <f aca="false">IFERROR(__xludf.dummyfunction("GOOGLEFINANCE(C61,""eps"")"),35.54)</f>
        <v>35.54</v>
      </c>
      <c r="I61" s="122" t="n">
        <f aca="false">H61/D61</f>
        <v>0.030941477599206</v>
      </c>
      <c r="J61" s="141" t="n">
        <f aca="false">F61*I61*100*100</f>
        <v>0</v>
      </c>
      <c r="K61" s="122" t="e">
        <f aca="false">E61/H61</f>
        <v>#VALUE!</v>
      </c>
    </row>
    <row r="62" customFormat="false" ht="16.15" hidden="false" customHeight="false" outlineLevel="0" collapsed="false">
      <c r="B62" s="100" t="s">
        <v>461</v>
      </c>
      <c r="C62" s="100" t="s">
        <v>462</v>
      </c>
      <c r="D62" s="138" t="n">
        <f aca="false">IFERROR(__xludf.dummyfunction("GOOGLEFINANCE(C62,""price"")"),21.33)</f>
        <v>21.33</v>
      </c>
      <c r="E62" s="54" t="str">
        <f aca="false">IFERROR(__xludf.dummyfunction("split(IMPORTXML(concatenate(""https://finance.yahoo.com/quote/"",C62),$J$5),""()"")"),"#N/A")</f>
        <v>#N/A</v>
      </c>
      <c r="F62" s="100"/>
      <c r="G62" s="140" t="n">
        <f aca="false">IFERROR(__xludf.dummyfunction("GOOGLEFINANCE(C62,""pe"")"),24)</f>
        <v>24</v>
      </c>
      <c r="H62" s="100" t="n">
        <f aca="false">IFERROR(__xludf.dummyfunction("GOOGLEFINANCE(C62,""eps"")"),0.89)</f>
        <v>0.89</v>
      </c>
      <c r="I62" s="122" t="n">
        <f aca="false">H62/D62</f>
        <v>0.0417252695733708</v>
      </c>
      <c r="J62" s="141" t="n">
        <f aca="false">F62*I62*100*100</f>
        <v>0</v>
      </c>
      <c r="K62" s="122" t="e">
        <f aca="false">E62/H62</f>
        <v>#VALUE!</v>
      </c>
    </row>
    <row r="63" customFormat="false" ht="16.15" hidden="false" customHeight="false" outlineLevel="0" collapsed="false">
      <c r="B63" s="100" t="s">
        <v>463</v>
      </c>
      <c r="C63" s="100" t="s">
        <v>464</v>
      </c>
      <c r="D63" s="138" t="n">
        <f aca="false">IFERROR(__xludf.dummyfunction("GOOGLEFINANCE(C63,""price"")"),255.47)</f>
        <v>255.47</v>
      </c>
      <c r="E63" s="54" t="str">
        <f aca="false">IFERROR(__xludf.dummyfunction("split(IMPORTXML(concatenate(""https://finance.yahoo.com/quote/"",C63),$J$5),""()"")"),"#N/A")</f>
        <v>#N/A</v>
      </c>
      <c r="F63" s="100"/>
      <c r="G63" s="140" t="n">
        <f aca="false">IFERROR(__xludf.dummyfunction("GOOGLEFINANCE(C63,""pe"")"),23.72)</f>
        <v>23.72</v>
      </c>
      <c r="H63" s="100" t="n">
        <f aca="false">IFERROR(__xludf.dummyfunction("GOOGLEFINANCE(C63,""eps"")"),10.77)</f>
        <v>10.77</v>
      </c>
      <c r="I63" s="122" t="n">
        <f aca="false">H63/D63</f>
        <v>0.0421575918894587</v>
      </c>
      <c r="J63" s="141" t="n">
        <f aca="false">F63*I63*100*100</f>
        <v>0</v>
      </c>
      <c r="K63" s="122" t="e">
        <f aca="false">E63/H63</f>
        <v>#VALUE!</v>
      </c>
    </row>
    <row r="64" customFormat="false" ht="16.15" hidden="false" customHeight="false" outlineLevel="0" collapsed="false">
      <c r="B64" s="100" t="s">
        <v>465</v>
      </c>
      <c r="C64" s="100" t="s">
        <v>466</v>
      </c>
      <c r="D64" s="138" t="n">
        <f aca="false">IFERROR(__xludf.dummyfunction("GOOGLEFINANCE(C64,""price"")"),227.19)</f>
        <v>227.19</v>
      </c>
      <c r="E64" s="54" t="str">
        <f aca="false">IFERROR(__xludf.dummyfunction("split(IMPORTXML(concatenate(""https://finance.yahoo.com/quote/"",C64),$J$5),""()"")"),"#N/A")</f>
        <v>#N/A</v>
      </c>
      <c r="F64" s="100"/>
      <c r="G64" s="140" t="n">
        <f aca="false">IFERROR(__xludf.dummyfunction("GOOGLEFINANCE(C64,""pe"")"),26.28)</f>
        <v>26.28</v>
      </c>
      <c r="H64" s="100" t="n">
        <f aca="false">IFERROR(__xludf.dummyfunction("GOOGLEFINANCE(C64,""eps"")"),8.65)</f>
        <v>8.65</v>
      </c>
      <c r="I64" s="122" t="n">
        <f aca="false">H64/D64</f>
        <v>0.038073858884634</v>
      </c>
      <c r="J64" s="141" t="n">
        <f aca="false">F64*I64*100*100</f>
        <v>0</v>
      </c>
      <c r="K64" s="122" t="e">
        <f aca="false">E64/H64</f>
        <v>#VALUE!</v>
      </c>
    </row>
    <row r="65" customFormat="false" ht="16.15" hidden="false" customHeight="false" outlineLevel="0" collapsed="false">
      <c r="B65" s="100" t="s">
        <v>467</v>
      </c>
      <c r="C65" s="100" t="s">
        <v>468</v>
      </c>
      <c r="D65" s="138" t="n">
        <f aca="false">IFERROR(__xludf.dummyfunction("GOOGLEFINANCE(C65,""price"")"),97.67)</f>
        <v>97.67</v>
      </c>
      <c r="E65" s="54" t="str">
        <f aca="false">IFERROR(__xludf.dummyfunction("split(IMPORTXML(concatenate(""https://finance.yahoo.com/quote/"",C65),$J$5),""()"")"),"#N/A")</f>
        <v>#N/A</v>
      </c>
      <c r="F65" s="100"/>
      <c r="G65" s="140" t="n">
        <f aca="false">IFERROR(__xludf.dummyfunction("GOOGLEFINANCE(C65,""pe"")"),15.36)</f>
        <v>15.36</v>
      </c>
      <c r="H65" s="100" t="n">
        <f aca="false">IFERROR(__xludf.dummyfunction("GOOGLEFINANCE(C65,""eps"")"),6.36)</f>
        <v>6.36</v>
      </c>
      <c r="I65" s="122" t="n">
        <f aca="false">H65/D65</f>
        <v>0.0651172314938057</v>
      </c>
      <c r="J65" s="141" t="n">
        <f aca="false">F65*I65*100*100</f>
        <v>0</v>
      </c>
      <c r="K65" s="122" t="e">
        <f aca="false">E65/H65</f>
        <v>#VALUE!</v>
      </c>
    </row>
    <row r="66" customFormat="false" ht="16.15" hidden="false" customHeight="false" outlineLevel="0" collapsed="false">
      <c r="B66" s="100" t="s">
        <v>469</v>
      </c>
      <c r="C66" s="100" t="s">
        <v>470</v>
      </c>
      <c r="D66" s="138" t="n">
        <f aca="false">IFERROR(__xludf.dummyfunction("GOOGLEFINANCE(C66,""price"")"),10.89)</f>
        <v>10.89</v>
      </c>
      <c r="E66" s="54" t="str">
        <f aca="false">IFERROR(__xludf.dummyfunction("split(IMPORTXML(concatenate(""https://finance.yahoo.com/quote/"",C66),$J$5),""()"")"),"#N/A")</f>
        <v>#N/A</v>
      </c>
      <c r="F66" s="100"/>
      <c r="G66" s="140" t="n">
        <f aca="false">IFERROR(__xludf.dummyfunction("GOOGLEFINANCE(C66,""pe"")"),6.46)</f>
        <v>6.46</v>
      </c>
      <c r="H66" s="100" t="n">
        <f aca="false">IFERROR(__xludf.dummyfunction("GOOGLEFINANCE(C66,""eps"")"),1.69)</f>
        <v>1.69</v>
      </c>
      <c r="I66" s="122" t="n">
        <f aca="false">H66/D66</f>
        <v>0.155188246097337</v>
      </c>
      <c r="J66" s="141" t="n">
        <f aca="false">F66*I66*100*100</f>
        <v>0</v>
      </c>
      <c r="K66" s="122" t="e">
        <f aca="false">E66/H66</f>
        <v>#VALUE!</v>
      </c>
    </row>
    <row r="67" customFormat="false" ht="16.15" hidden="false" customHeight="false" outlineLevel="0" collapsed="false">
      <c r="B67" s="100" t="s">
        <v>471</v>
      </c>
      <c r="C67" s="100" t="s">
        <v>472</v>
      </c>
      <c r="D67" s="138" t="n">
        <f aca="false">IFERROR(__xludf.dummyfunction("GOOGLEFINANCE(C67,""price"")"),233.33)</f>
        <v>233.33</v>
      </c>
      <c r="E67" s="54" t="str">
        <f aca="false">IFERROR(__xludf.dummyfunction("split(IMPORTXML(concatenate(""https://finance.yahoo.com/quote/"",C67),$J$5),""()"")"),"#N/A")</f>
        <v>#N/A</v>
      </c>
      <c r="F67" s="100"/>
      <c r="G67" s="140" t="n">
        <f aca="false">IFERROR(__xludf.dummyfunction("GOOGLEFINANCE(C67,""pe"")"),19.69)</f>
        <v>19.69</v>
      </c>
      <c r="H67" s="100" t="n">
        <f aca="false">IFERROR(__xludf.dummyfunction("GOOGLEFINANCE(C67,""eps"")"),11.85)</f>
        <v>11.85</v>
      </c>
      <c r="I67" s="122" t="n">
        <f aca="false">H67/D67</f>
        <v>0.0507864398062829</v>
      </c>
      <c r="J67" s="141" t="n">
        <f aca="false">F67*I67*100*100</f>
        <v>0</v>
      </c>
      <c r="K67" s="122" t="e">
        <f aca="false">E67/H67</f>
        <v>#VALUE!</v>
      </c>
    </row>
    <row r="68" customFormat="false" ht="16.15" hidden="false" customHeight="false" outlineLevel="0" collapsed="false">
      <c r="B68" s="100" t="s">
        <v>473</v>
      </c>
      <c r="C68" s="100" t="s">
        <v>474</v>
      </c>
      <c r="D68" s="138" t="n">
        <f aca="false">IFERROR(__xludf.dummyfunction("GOOGLEFINANCE(C68,""price"")"),50.24)</f>
        <v>50.24</v>
      </c>
      <c r="E68" s="54" t="str">
        <f aca="false">IFERROR(__xludf.dummyfunction("split(IMPORTXML(concatenate(""https://finance.yahoo.com/quote/"",C68),$J$5),""()"")"),"#N/A")</f>
        <v>#N/A</v>
      </c>
      <c r="F68" s="100"/>
      <c r="G68" s="140" t="n">
        <f aca="false">IFERROR(__xludf.dummyfunction("GOOGLEFINANCE(C68,""pe"")"),8.24)</f>
        <v>8.24</v>
      </c>
      <c r="H68" s="100" t="n">
        <f aca="false">IFERROR(__xludf.dummyfunction("GOOGLEFINANCE(C68,""eps"")"),6.1)</f>
        <v>6.1</v>
      </c>
      <c r="I68" s="122" t="n">
        <f aca="false">H68/D68</f>
        <v>0.121417197452229</v>
      </c>
      <c r="J68" s="141" t="n">
        <f aca="false">F68*I68*100*100</f>
        <v>0</v>
      </c>
      <c r="K68" s="122" t="e">
        <f aca="false">E68/H68</f>
        <v>#VALUE!</v>
      </c>
    </row>
    <row r="69" customFormat="false" ht="16.15" hidden="false" customHeight="false" outlineLevel="0" collapsed="false">
      <c r="B69" s="100" t="s">
        <v>475</v>
      </c>
      <c r="C69" s="100" t="s">
        <v>476</v>
      </c>
      <c r="D69" s="138" t="n">
        <f aca="false">IFERROR(__xludf.dummyfunction("GOOGLEFINANCE(C69,""price"")"),226.04)</f>
        <v>226.04</v>
      </c>
      <c r="E69" s="54" t="str">
        <f aca="false">IFERROR(__xludf.dummyfunction("split(IMPORTXML(concatenate(""https://finance.yahoo.com/quote/"",C69),$J$5),""()"")"),"#N/A")</f>
        <v>#N/A</v>
      </c>
      <c r="F69" s="100"/>
      <c r="G69" s="140" t="n">
        <f aca="false">IFERROR(__xludf.dummyfunction("GOOGLEFINANCE(C69,""pe"")"),30.06)</f>
        <v>30.06</v>
      </c>
      <c r="H69" s="100" t="n">
        <f aca="false">IFERROR(__xludf.dummyfunction("GOOGLEFINANCE(C69,""eps"")"),7.52)</f>
        <v>7.52</v>
      </c>
      <c r="I69" s="122" t="n">
        <f aca="false">H69/D69</f>
        <v>0.0332684480622899</v>
      </c>
      <c r="J69" s="141" t="n">
        <f aca="false">F69*I69*100*100</f>
        <v>0</v>
      </c>
      <c r="K69" s="122" t="e">
        <f aca="false">E69/H69</f>
        <v>#VALUE!</v>
      </c>
    </row>
    <row r="70" customFormat="false" ht="16.15" hidden="false" customHeight="false" outlineLevel="0" collapsed="false">
      <c r="B70" s="100" t="s">
        <v>477</v>
      </c>
      <c r="C70" s="100" t="s">
        <v>478</v>
      </c>
      <c r="D70" s="138" t="n">
        <f aca="false">IFERROR(__xludf.dummyfunction("GOOGLEFINANCE(C70,""price"")"),107.51)</f>
        <v>107.51</v>
      </c>
      <c r="E70" s="54" t="str">
        <f aca="false">IFERROR(__xludf.dummyfunction("split(IMPORTXML(concatenate(""https://finance.yahoo.com/quote/"",C70),$J$5),""()"")"),"#N/A")</f>
        <v>#N/A</v>
      </c>
      <c r="F70" s="100"/>
      <c r="G70" s="140" t="n">
        <f aca="false">IFERROR(__xludf.dummyfunction("GOOGLEFINANCE(C70,""pe"")"),15.34)</f>
        <v>15.34</v>
      </c>
      <c r="H70" s="100" t="n">
        <f aca="false">IFERROR(__xludf.dummyfunction("GOOGLEFINANCE(C70,""eps"")"),7.01)</f>
        <v>7.01</v>
      </c>
      <c r="I70" s="122" t="n">
        <f aca="false">H70/D70</f>
        <v>0.0652032369081946</v>
      </c>
      <c r="J70" s="141" t="n">
        <f aca="false">F70*I70*100*100</f>
        <v>0</v>
      </c>
      <c r="K70" s="122" t="e">
        <f aca="false">E70/H70</f>
        <v>#VALUE!</v>
      </c>
    </row>
    <row r="71" customFormat="false" ht="16.15" hidden="false" customHeight="false" outlineLevel="0" collapsed="false">
      <c r="B71" s="100" t="s">
        <v>479</v>
      </c>
      <c r="C71" s="100" t="s">
        <v>480</v>
      </c>
      <c r="D71" s="138" t="n">
        <f aca="false">IFERROR(__xludf.dummyfunction("GOOGLEFINANCE(C71,""price"")"),157.41)</f>
        <v>157.41</v>
      </c>
      <c r="E71" s="54" t="str">
        <f aca="false">IFERROR(__xludf.dummyfunction("split(IMPORTXML(concatenate(""https://finance.yahoo.com/quote/"",C71),$J$5),""()"")"),"#N/A")</f>
        <v>#N/A</v>
      </c>
      <c r="F71" s="100"/>
      <c r="G71" s="140" t="n">
        <f aca="false">IFERROR(__xludf.dummyfunction("GOOGLEFINANCE(C71,""pe"")"),24.73)</f>
        <v>24.73</v>
      </c>
      <c r="H71" s="100" t="n">
        <f aca="false">IFERROR(__xludf.dummyfunction("GOOGLEFINANCE(C71,""eps"")"),6.36)</f>
        <v>6.36</v>
      </c>
      <c r="I71" s="122" t="n">
        <f aca="false">H71/D71</f>
        <v>0.0404040404040404</v>
      </c>
      <c r="J71" s="141" t="n">
        <f aca="false">F71*I71*100*100</f>
        <v>0</v>
      </c>
      <c r="K71" s="122" t="e">
        <f aca="false">E71/H71</f>
        <v>#VALUE!</v>
      </c>
      <c r="M71" s="114" t="s">
        <v>406</v>
      </c>
    </row>
    <row r="72" customFormat="false" ht="16.15" hidden="false" customHeight="false" outlineLevel="0" collapsed="false">
      <c r="B72" s="100" t="s">
        <v>481</v>
      </c>
      <c r="C72" s="100" t="s">
        <v>482</v>
      </c>
      <c r="D72" s="138" t="n">
        <f aca="false">IFERROR(__xludf.dummyfunction("GOOGLEFINANCE(C72,""price"")"),79.1)</f>
        <v>79.1</v>
      </c>
      <c r="E72" s="54" t="str">
        <f aca="false">IFERROR(__xludf.dummyfunction("split(IMPORTXML(concatenate(""https://finance.yahoo.com/quote/"",C72),$J$5),""()"")"),"#N/A")</f>
        <v>#N/A</v>
      </c>
      <c r="F72" s="100"/>
      <c r="G72" s="140" t="n">
        <f aca="false">IFERROR(__xludf.dummyfunction("GOOGLEFINANCE(C72,""pe"")"),19.42)</f>
        <v>19.42</v>
      </c>
      <c r="H72" s="100" t="n">
        <f aca="false">IFERROR(__xludf.dummyfunction("GOOGLEFINANCE(C72,""eps"")"),4.07)</f>
        <v>4.07</v>
      </c>
      <c r="I72" s="122" t="n">
        <f aca="false">H72/D72</f>
        <v>0.0514538558786346</v>
      </c>
      <c r="J72" s="141" t="n">
        <f aca="false">F72*I72*100*100</f>
        <v>0</v>
      </c>
      <c r="K72" s="122" t="e">
        <f aca="false">E72/H72</f>
        <v>#VALUE!</v>
      </c>
    </row>
    <row r="73" customFormat="false" ht="16.15" hidden="false" customHeight="false" outlineLevel="0" collapsed="false">
      <c r="B73" s="100" t="s">
        <v>483</v>
      </c>
      <c r="C73" s="100" t="s">
        <v>484</v>
      </c>
      <c r="D73" s="138" t="n">
        <f aca="false">IFERROR(__xludf.dummyfunction("GOOGLEFINANCE(C73,""price"")"),0.17)</f>
        <v>0.17</v>
      </c>
      <c r="E73" s="54" t="str">
        <f aca="false">IFERROR(__xludf.dummyfunction("split(IMPORTXML(concatenate(""https://finance.yahoo.com/quote/"",C73),$J$5),""()"")"),"#N/A")</f>
        <v>#N/A</v>
      </c>
      <c r="F73" s="100"/>
      <c r="G73" s="140" t="str">
        <f aca="false">IFERROR(__xludf.dummyfunction("GOOGLEFINANCE(C73,""pe"")"),"#N/A")</f>
        <v>#N/A</v>
      </c>
      <c r="H73" s="100" t="n">
        <f aca="false">IFERROR(__xludf.dummyfunction("GOOGLEFINANCE(C73,""eps"")"),0)</f>
        <v>0</v>
      </c>
      <c r="I73" s="122" t="n">
        <f aca="false">H73/D73</f>
        <v>0</v>
      </c>
      <c r="J73" s="141" t="n">
        <f aca="false">F73*I73*100*100</f>
        <v>0</v>
      </c>
      <c r="K73" s="122" t="e">
        <f aca="false">E73/H73</f>
        <v>#VALUE!</v>
      </c>
    </row>
    <row r="74" customFormat="false" ht="16.15" hidden="false" customHeight="false" outlineLevel="0" collapsed="false">
      <c r="B74" s="100" t="s">
        <v>485</v>
      </c>
      <c r="C74" s="100" t="s">
        <v>486</v>
      </c>
      <c r="D74" s="138" t="n">
        <f aca="false">IFERROR(__xludf.dummyfunction("GOOGLEFINANCE(C74,""price"")"),147.26)</f>
        <v>147.26</v>
      </c>
      <c r="E74" s="54" t="str">
        <f aca="false">IFERROR(__xludf.dummyfunction("split(IMPORTXML(concatenate(""https://finance.yahoo.com/quote/"",C74),$J$5),""()"")"),"#N/A")</f>
        <v>#N/A</v>
      </c>
      <c r="F74" s="100"/>
      <c r="G74" s="140" t="n">
        <f aca="false">IFERROR(__xludf.dummyfunction("GOOGLEFINANCE(C74,""pe"")"),21.54)</f>
        <v>21.54</v>
      </c>
      <c r="H74" s="100" t="n">
        <f aca="false">IFERROR(__xludf.dummyfunction("GOOGLEFINANCE(C74,""eps"")"),6.84)</f>
        <v>6.84</v>
      </c>
      <c r="I74" s="122" t="n">
        <f aca="false">H74/D74</f>
        <v>0.04644845850876</v>
      </c>
      <c r="J74" s="141" t="n">
        <f aca="false">F74*I74*100*100</f>
        <v>0</v>
      </c>
      <c r="K74" s="122" t="e">
        <f aca="false">E74/H74</f>
        <v>#VALUE!</v>
      </c>
    </row>
    <row r="75" customFormat="false" ht="16.15" hidden="false" customHeight="false" outlineLevel="0" collapsed="false">
      <c r="B75" s="100" t="s">
        <v>487</v>
      </c>
      <c r="C75" s="100" t="s">
        <v>488</v>
      </c>
      <c r="D75" s="138" t="n">
        <f aca="false">IFERROR(__xludf.dummyfunction("GOOGLEFINANCE(C75,""price"")"),358.22)</f>
        <v>358.22</v>
      </c>
      <c r="E75" s="54" t="str">
        <f aca="false">IFERROR(__xludf.dummyfunction("split(IMPORTXML(concatenate(""https://finance.yahoo.com/quote/"",C75),$J$5),""()"")"),"#N/A")</f>
        <v>#N/A</v>
      </c>
      <c r="F75" s="100"/>
      <c r="G75" s="140" t="n">
        <f aca="false">IFERROR(__xludf.dummyfunction("GOOGLEFINANCE(C75,""pe"")"),22.39)</f>
        <v>22.39</v>
      </c>
      <c r="H75" s="100" t="n">
        <f aca="false">IFERROR(__xludf.dummyfunction("GOOGLEFINANCE(C75,""eps"")"),16)</f>
        <v>16</v>
      </c>
      <c r="I75" s="122" t="n">
        <f aca="false">H75/D75</f>
        <v>0.0446652894869075</v>
      </c>
      <c r="J75" s="141" t="n">
        <f aca="false">F75*I75*100*100</f>
        <v>0</v>
      </c>
      <c r="K75" s="122" t="e">
        <f aca="false">E75/H75</f>
        <v>#VALUE!</v>
      </c>
    </row>
    <row r="76" customFormat="false" ht="16.15" hidden="false" customHeight="false" outlineLevel="0" collapsed="false">
      <c r="B76" s="100" t="s">
        <v>489</v>
      </c>
      <c r="C76" s="100" t="s">
        <v>490</v>
      </c>
      <c r="D76" s="138" t="n">
        <f aca="false">IFERROR(__xludf.dummyfunction("GOOGLEFINANCE(C76,""price"")"),426.06)</f>
        <v>426.06</v>
      </c>
      <c r="E76" s="54" t="str">
        <f aca="false">IFERROR(__xludf.dummyfunction("split(IMPORTXML(concatenate(""https://finance.yahoo.com/quote/"",C76),$J$5),""()"")"),"#N/A")</f>
        <v>#N/A</v>
      </c>
      <c r="F76" s="100"/>
      <c r="G76" s="140" t="n">
        <f aca="false">IFERROR(__xludf.dummyfunction("GOOGLEFINANCE(C76,""pe"")"),26.96)</f>
        <v>26.96</v>
      </c>
      <c r="H76" s="100" t="n">
        <f aca="false">IFERROR(__xludf.dummyfunction("GOOGLEFINANCE(C76,""eps"")"),15.81)</f>
        <v>15.81</v>
      </c>
      <c r="I76" s="122" t="n">
        <f aca="false">H76/D76</f>
        <v>0.0371074496549782</v>
      </c>
      <c r="J76" s="141" t="n">
        <f aca="false">F76*I76*100*100</f>
        <v>0</v>
      </c>
      <c r="K76" s="122" t="e">
        <f aca="false">E76/H76</f>
        <v>#VALUE!</v>
      </c>
    </row>
    <row r="77" customFormat="false" ht="16.15" hidden="false" customHeight="false" outlineLevel="0" collapsed="false">
      <c r="B77" s="100" t="s">
        <v>491</v>
      </c>
      <c r="C77" s="100" t="s">
        <v>492</v>
      </c>
      <c r="D77" s="138" t="n">
        <f aca="false">IFERROR(__xludf.dummyfunction("GOOGLEFINANCE(C77,""price"")"),318)</f>
        <v>318</v>
      </c>
      <c r="E77" s="54" t="str">
        <f aca="false">IFERROR(__xludf.dummyfunction("split(IMPORTXML(concatenate(""https://finance.yahoo.com/quote/"",C77),$J$5),""()"")"),"#N/A")</f>
        <v>#N/A</v>
      </c>
      <c r="F77" s="100"/>
      <c r="G77" s="140" t="n">
        <f aca="false">IFERROR(__xludf.dummyfunction("GOOGLEFINANCE(C77,""pe"")"),30.52)</f>
        <v>30.52</v>
      </c>
      <c r="H77" s="100" t="n">
        <f aca="false">IFERROR(__xludf.dummyfunction("GOOGLEFINANCE(C77,""eps"")"),10.42)</f>
        <v>10.42</v>
      </c>
      <c r="I77" s="122" t="n">
        <f aca="false">H77/D77</f>
        <v>0.0327672955974843</v>
      </c>
      <c r="J77" s="141" t="n">
        <f aca="false">F77*I77*100*100</f>
        <v>0</v>
      </c>
      <c r="K77" s="122" t="e">
        <f aca="false">E77/H77</f>
        <v>#VALUE!</v>
      </c>
    </row>
    <row r="78" customFormat="false" ht="16.15" hidden="false" customHeight="false" outlineLevel="0" collapsed="false">
      <c r="B78" s="100" t="s">
        <v>493</v>
      </c>
      <c r="C78" s="100" t="s">
        <v>494</v>
      </c>
      <c r="D78" s="138" t="n">
        <f aca="false">IFERROR(__xludf.dummyfunction("GOOGLEFINANCE(C78,""price"")"),74.05)</f>
        <v>74.05</v>
      </c>
      <c r="E78" s="54" t="str">
        <f aca="false">IFERROR(__xludf.dummyfunction("split(IMPORTXML(concatenate(""https://finance.yahoo.com/quote/"",C78),$J$5),""()"")"),"#N/A")</f>
        <v>#N/A</v>
      </c>
      <c r="F78" s="100"/>
      <c r="G78" s="140" t="n">
        <f aca="false">IFERROR(__xludf.dummyfunction("GOOGLEFINANCE(C78,""pe"")"),20.54)</f>
        <v>20.54</v>
      </c>
      <c r="H78" s="100" t="n">
        <f aca="false">IFERROR(__xludf.dummyfunction("GOOGLEFINANCE(C78,""eps"")"),3.61)</f>
        <v>3.61</v>
      </c>
      <c r="I78" s="122" t="n">
        <f aca="false">H78/D78</f>
        <v>0.0487508440243079</v>
      </c>
      <c r="J78" s="141" t="n">
        <f aca="false">F78*I78*100*100</f>
        <v>0</v>
      </c>
      <c r="K78" s="122" t="e">
        <f aca="false">E78/H78</f>
        <v>#VALUE!</v>
      </c>
    </row>
    <row r="79" customFormat="false" ht="16.15" hidden="false" customHeight="false" outlineLevel="0" collapsed="false">
      <c r="B79" s="100" t="s">
        <v>495</v>
      </c>
      <c r="C79" s="100" t="s">
        <v>496</v>
      </c>
      <c r="D79" s="138" t="n">
        <f aca="false">IFERROR(__xludf.dummyfunction("GOOGLEFINANCE(C79,""price"")"),103.42)</f>
        <v>103.42</v>
      </c>
      <c r="E79" s="54" t="str">
        <f aca="false">IFERROR(__xludf.dummyfunction("split(IMPORTXML(concatenate(""https://finance.yahoo.com/quote/"",C79),$J$5),""()"")"),"#N/A")</f>
        <v>#N/A</v>
      </c>
      <c r="F79" s="100"/>
      <c r="G79" s="140" t="n">
        <f aca="false">IFERROR(__xludf.dummyfunction("GOOGLEFINANCE(C79,""pe"")"),11.09)</f>
        <v>11.09</v>
      </c>
      <c r="H79" s="100" t="n">
        <f aca="false">IFERROR(__xludf.dummyfunction("GOOGLEFINANCE(C79,""eps"")"),9.33)</f>
        <v>9.33</v>
      </c>
      <c r="I79" s="122" t="n">
        <f aca="false">H79/D79</f>
        <v>0.0902146586733707</v>
      </c>
      <c r="J79" s="141" t="n">
        <f aca="false">F79*I79*100*100</f>
        <v>0</v>
      </c>
      <c r="K79" s="122" t="e">
        <f aca="false">E79/H79</f>
        <v>#VALUE!</v>
      </c>
    </row>
    <row r="80" customFormat="false" ht="16.15" hidden="false" customHeight="false" outlineLevel="0" collapsed="false">
      <c r="B80" s="100" t="s">
        <v>497</v>
      </c>
      <c r="C80" s="100" t="s">
        <v>498</v>
      </c>
      <c r="D80" s="138" t="n">
        <f aca="false">IFERROR(__xludf.dummyfunction("GOOGLEFINANCE(C80,""price"")"),128.89)</f>
        <v>128.89</v>
      </c>
      <c r="E80" s="54" t="str">
        <f aca="false">IFERROR(__xludf.dummyfunction("split(IMPORTXML(concatenate(""https://finance.yahoo.com/quote/"",C80),$J$5),""()"")"),"#N/A")</f>
        <v>#N/A</v>
      </c>
      <c r="F80" s="100"/>
      <c r="G80" s="140" t="n">
        <f aca="false">IFERROR(__xludf.dummyfunction("GOOGLEFINANCE(C80,""pe"")"),15.85)</f>
        <v>15.85</v>
      </c>
      <c r="H80" s="100" t="n">
        <f aca="false">IFERROR(__xludf.dummyfunction("GOOGLEFINANCE(C80,""eps"")"),8.13)</f>
        <v>8.13</v>
      </c>
      <c r="I80" s="122" t="n">
        <f aca="false">H80/D80</f>
        <v>0.0630770424392893</v>
      </c>
      <c r="J80" s="141" t="n">
        <f aca="false">F80*I80*100*100</f>
        <v>0</v>
      </c>
      <c r="K80" s="122" t="e">
        <f aca="false">E80/H80</f>
        <v>#VALUE!</v>
      </c>
    </row>
    <row r="81" customFormat="false" ht="16.15" hidden="false" customHeight="false" outlineLevel="0" collapsed="false">
      <c r="B81" s="100" t="s">
        <v>499</v>
      </c>
      <c r="C81" s="100" t="s">
        <v>500</v>
      </c>
      <c r="D81" s="138" t="n">
        <f aca="false">IFERROR(__xludf.dummyfunction("GOOGLEFINANCE(C81,""price"")"),19.01)</f>
        <v>19.01</v>
      </c>
      <c r="E81" s="54" t="str">
        <f aca="false">IFERROR(__xludf.dummyfunction("split(IMPORTXML(concatenate(""https://finance.yahoo.com/quote/"",C81),$J$5),""()"")"),"#N/A")</f>
        <v>#N/A</v>
      </c>
      <c r="F81" s="100"/>
      <c r="G81" s="140" t="n">
        <f aca="false">IFERROR(__xludf.dummyfunction("GOOGLEFINANCE(C81,""pe"")"),34.34)</f>
        <v>34.34</v>
      </c>
      <c r="H81" s="100" t="n">
        <f aca="false">IFERROR(__xludf.dummyfunction("GOOGLEFINANCE(C81,""eps"")"),0.55)</f>
        <v>0.55</v>
      </c>
      <c r="I81" s="122" t="n">
        <f aca="false">H81/D81</f>
        <v>0.0289321409784324</v>
      </c>
      <c r="J81" s="141" t="n">
        <f aca="false">F81*I81*100*100</f>
        <v>0</v>
      </c>
      <c r="K81" s="122" t="e">
        <f aca="false">E81/H81</f>
        <v>#VALUE!</v>
      </c>
    </row>
    <row r="82" customFormat="false" ht="16.15" hidden="false" customHeight="false" outlineLevel="0" collapsed="false">
      <c r="B82" s="100" t="s">
        <v>501</v>
      </c>
      <c r="C82" s="100" t="s">
        <v>502</v>
      </c>
      <c r="D82" s="138" t="n">
        <f aca="false">IFERROR(__xludf.dummyfunction("GOOGLEFINANCE(C82,""price"")"),131.6)</f>
        <v>131.6</v>
      </c>
      <c r="E82" s="54" t="str">
        <f aca="false">IFERROR(__xludf.dummyfunction("split(IMPORTXML(concatenate(""https://finance.yahoo.com/quote/"",C82),$J$5),""()"")"),"#N/A")</f>
        <v>#N/A</v>
      </c>
      <c r="F82" s="100"/>
      <c r="G82" s="140" t="n">
        <f aca="false">IFERROR(__xludf.dummyfunction("GOOGLEFINANCE(C82,""pe"")"),48.22)</f>
        <v>48.22</v>
      </c>
      <c r="H82" s="100" t="n">
        <f aca="false">IFERROR(__xludf.dummyfunction("GOOGLEFINANCE(C82,""eps"")"),2.73)</f>
        <v>2.73</v>
      </c>
      <c r="I82" s="122" t="n">
        <f aca="false">H82/D82</f>
        <v>0.0207446808510638</v>
      </c>
      <c r="J82" s="141" t="n">
        <f aca="false">F82*I82*100*100</f>
        <v>0</v>
      </c>
      <c r="K82" s="122" t="e">
        <f aca="false">E82/H82</f>
        <v>#VALUE!</v>
      </c>
    </row>
    <row r="83" customFormat="false" ht="16.15" hidden="false" customHeight="false" outlineLevel="0" collapsed="false">
      <c r="B83" s="100" t="s">
        <v>503</v>
      </c>
      <c r="C83" s="100" t="s">
        <v>504</v>
      </c>
      <c r="D83" s="138" t="n">
        <f aca="false">IFERROR(__xludf.dummyfunction("GOOGLEFINANCE(C83,""price"")"),222)</f>
        <v>222</v>
      </c>
      <c r="E83" s="54" t="str">
        <f aca="false">IFERROR(__xludf.dummyfunction("split(IMPORTXML(concatenate(""https://finance.yahoo.com/quote/"",C83),$J$5),""()"")"),"#N/A")</f>
        <v>#N/A</v>
      </c>
      <c r="F83" s="100"/>
      <c r="G83" s="140" t="str">
        <f aca="false">IFERROR(__xludf.dummyfunction("GOOGLEFINANCE(C83,""pe"")"),"#N/A")</f>
        <v>#N/A</v>
      </c>
      <c r="H83" s="100" t="str">
        <f aca="false">IFERROR(__xludf.dummyfunction("GOOGLEFINANCE(C83,""eps"")"),"#N/A")</f>
        <v>#N/A</v>
      </c>
      <c r="I83" s="122" t="e">
        <f aca="false">H83/D83</f>
        <v>#VALUE!</v>
      </c>
      <c r="J83" s="141" t="e">
        <f aca="false">F83*I83*100*100</f>
        <v>#VALUE!</v>
      </c>
      <c r="K83" s="122" t="e">
        <f aca="false">E83/H83</f>
        <v>#VALUE!</v>
      </c>
    </row>
    <row r="84" customFormat="false" ht="16.15" hidden="false" customHeight="false" outlineLevel="0" collapsed="false">
      <c r="B84" s="54" t="s">
        <v>505</v>
      </c>
      <c r="C84" s="54" t="s">
        <v>506</v>
      </c>
      <c r="D84" s="138" t="n">
        <f aca="false">IFERROR(__xludf.dummyfunction("GOOGLEFINANCE(C84,""price"")"),32.53)</f>
        <v>32.53</v>
      </c>
      <c r="E84" s="54" t="str">
        <f aca="false">IFERROR(__xludf.dummyfunction("split(IMPORTXML(concatenate(""https://finance.yahoo.com/quote/"",C84),$J$5),""()"")"),"#N/A")</f>
        <v>#N/A</v>
      </c>
      <c r="F84" s="100"/>
      <c r="G84" s="140" t="n">
        <f aca="false">IFERROR(__xludf.dummyfunction("GOOGLEFINANCE(C84,""pe"")"),21.94)</f>
        <v>21.94</v>
      </c>
      <c r="H84" s="100" t="n">
        <f aca="false">IFERROR(__xludf.dummyfunction("GOOGLEFINANCE(C84,""eps"")"),1.48)</f>
        <v>1.48</v>
      </c>
      <c r="I84" s="122" t="n">
        <f aca="false">H84/D84</f>
        <v>0.0454964648017215</v>
      </c>
      <c r="J84" s="141" t="n">
        <f aca="false">F84*I84*100*100</f>
        <v>0</v>
      </c>
      <c r="K84" s="122" t="e">
        <f aca="false">E84/H84</f>
        <v>#VALUE!</v>
      </c>
    </row>
    <row r="85" customFormat="false" ht="16.15" hidden="false" customHeight="false" outlineLevel="0" collapsed="false">
      <c r="B85" s="54" t="s">
        <v>507</v>
      </c>
      <c r="C85" s="54" t="s">
        <v>508</v>
      </c>
      <c r="D85" s="138" t="n">
        <f aca="false">IFERROR(__xludf.dummyfunction("GOOGLEFINANCE(C85,""price"")"),54.83)</f>
        <v>54.83</v>
      </c>
      <c r="E85" s="54" t="str">
        <f aca="false">IFERROR(__xludf.dummyfunction("split(IMPORTXML(concatenate(""https://finance.yahoo.com/quote/"",C85),$J$5),""()"")"),"#N/A")</f>
        <v>#N/A</v>
      </c>
      <c r="F85" s="100"/>
      <c r="G85" s="140" t="n">
        <f aca="false">IFERROR(__xludf.dummyfunction("GOOGLEFINANCE(C85,""pe"")"),23.03)</f>
        <v>23.03</v>
      </c>
      <c r="H85" s="100" t="n">
        <f aca="false">IFERROR(__xludf.dummyfunction("GOOGLEFINANCE(C85,""eps"")"),2.38)</f>
        <v>2.38</v>
      </c>
      <c r="I85" s="122" t="n">
        <f aca="false">H85/D85</f>
        <v>0.0434068940361116</v>
      </c>
      <c r="J85" s="141" t="n">
        <f aca="false">F85*I85*100*100</f>
        <v>0</v>
      </c>
      <c r="K85" s="122" t="e">
        <f aca="false">E85/H85</f>
        <v>#VALUE!</v>
      </c>
    </row>
    <row r="86" customFormat="false" ht="16.15" hidden="false" customHeight="false" outlineLevel="0" collapsed="false">
      <c r="B86" s="54" t="s">
        <v>509</v>
      </c>
      <c r="C86" s="54" t="s">
        <v>510</v>
      </c>
      <c r="D86" s="138" t="n">
        <f aca="false">IFERROR(__xludf.dummyfunction("GOOGLEFINANCE(C86,""price"")"),0.34)</f>
        <v>0.34</v>
      </c>
      <c r="E86" s="54" t="str">
        <f aca="false">IFERROR(__xludf.dummyfunction("split(IMPORTXML(concatenate(""https://finance.yahoo.com/quote/"",C86),$J$5),""()"")"),"#N/A")</f>
        <v>#N/A</v>
      </c>
      <c r="F86" s="100"/>
      <c r="G86" s="140" t="str">
        <f aca="false">IFERROR(__xludf.dummyfunction("GOOGLEFINANCE(C86,""pe"")"),"#N/A")</f>
        <v>#N/A</v>
      </c>
      <c r="H86" s="100" t="str">
        <f aca="false">IFERROR(__xludf.dummyfunction("GOOGLEFINANCE(C86,""eps"")"),"#N/A")</f>
        <v>#N/A</v>
      </c>
      <c r="I86" s="122" t="e">
        <f aca="false">H86/D86</f>
        <v>#VALUE!</v>
      </c>
      <c r="J86" s="141" t="e">
        <f aca="false">F86*I86*100*100</f>
        <v>#VALUE!</v>
      </c>
      <c r="K86" s="122" t="e">
        <f aca="false">E86/H86</f>
        <v>#VALUE!</v>
      </c>
    </row>
    <row r="87" customFormat="false" ht="16.15" hidden="false" customHeight="false" outlineLevel="0" collapsed="false">
      <c r="B87" s="54" t="s">
        <v>511</v>
      </c>
      <c r="C87" s="54" t="s">
        <v>512</v>
      </c>
      <c r="D87" s="138" t="n">
        <f aca="false">IFERROR(__xludf.dummyfunction("GOOGLEFINANCE(C87,""price"")"),80.84)</f>
        <v>80.84</v>
      </c>
      <c r="E87" s="54" t="str">
        <f aca="false">IFERROR(__xludf.dummyfunction("split(IMPORTXML(concatenate(""https://finance.yahoo.com/quote/"",C87),$J$5),""()"")"),"#N/A")</f>
        <v>#N/A</v>
      </c>
      <c r="F87" s="100"/>
      <c r="G87" s="140" t="n">
        <f aca="false">IFERROR(__xludf.dummyfunction("GOOGLEFINANCE(C87,""pe"")"),32.29)</f>
        <v>32.29</v>
      </c>
      <c r="H87" s="100" t="n">
        <f aca="false">IFERROR(__xludf.dummyfunction("GOOGLEFINANCE(C87,""eps"")"),2.5)</f>
        <v>2.5</v>
      </c>
      <c r="I87" s="122" t="n">
        <f aca="false">H87/D87</f>
        <v>0.0309252845126175</v>
      </c>
      <c r="J87" s="141" t="n">
        <f aca="false">F87*I87*100*100</f>
        <v>0</v>
      </c>
      <c r="K87" s="122" t="e">
        <f aca="false">E87/H87</f>
        <v>#VALUE!</v>
      </c>
    </row>
    <row r="88" customFormat="false" ht="16.15" hidden="false" customHeight="false" outlineLevel="0" collapsed="false">
      <c r="B88" s="54" t="s">
        <v>513</v>
      </c>
      <c r="C88" s="54" t="s">
        <v>514</v>
      </c>
      <c r="D88" s="138" t="n">
        <f aca="false">IFERROR(__xludf.dummyfunction("GOOGLEFINANCE(C88,""price"")"),4.78)</f>
        <v>4.78</v>
      </c>
      <c r="E88" s="54" t="str">
        <f aca="false">IFERROR(__xludf.dummyfunction("split(IMPORTXML(concatenate(""https://finance.yahoo.com/quote/"",C88),$J$5),""()"")"),"#N/A")</f>
        <v>#N/A</v>
      </c>
      <c r="F88" s="100"/>
      <c r="G88" s="140" t="n">
        <f aca="false">IFERROR(__xludf.dummyfunction("GOOGLEFINANCE(C88,""pe"")"),53.22)</f>
        <v>53.22</v>
      </c>
      <c r="H88" s="100" t="n">
        <f aca="false">IFERROR(__xludf.dummyfunction("GOOGLEFINANCE(C88,""eps"")"),0.09)</f>
        <v>0.09</v>
      </c>
      <c r="I88" s="122" t="n">
        <f aca="false">H88/D88</f>
        <v>0.0188284518828452</v>
      </c>
      <c r="J88" s="141" t="n">
        <f aca="false">F88*I88*100*100</f>
        <v>0</v>
      </c>
      <c r="K88" s="122" t="e">
        <f aca="false">E88/H88</f>
        <v>#VALUE!</v>
      </c>
    </row>
    <row r="89" customFormat="false" ht="16.15" hidden="false" customHeight="false" outlineLevel="0" collapsed="false">
      <c r="B89" s="54" t="s">
        <v>358</v>
      </c>
      <c r="C89" s="54" t="s">
        <v>515</v>
      </c>
      <c r="D89" s="138" t="n">
        <f aca="false">IFERROR(__xludf.dummyfunction("GOOGLEFINANCE(C89,""price"")"),414.2)</f>
        <v>414.2</v>
      </c>
      <c r="E89" s="54" t="str">
        <f aca="false">IFERROR(__xludf.dummyfunction("split(IMPORTXML(concatenate(""https://finance.yahoo.com/quote/"",C89),$J$5),""()"")"),"#N/A")</f>
        <v>#N/A</v>
      </c>
      <c r="F89" s="100"/>
      <c r="G89" s="140" t="n">
        <f aca="false">IFERROR(__xludf.dummyfunction("GOOGLEFINANCE(C89,""pe"")"),24.68)</f>
        <v>24.68</v>
      </c>
      <c r="H89" s="100" t="n">
        <f aca="false">IFERROR(__xludf.dummyfunction("GOOGLEFINANCE(C89,""eps"")"),16.79)</f>
        <v>16.79</v>
      </c>
      <c r="I89" s="122" t="n">
        <f aca="false">H89/D89</f>
        <v>0.0405359729599227</v>
      </c>
      <c r="J89" s="141" t="n">
        <f aca="false">F89*I89*100*100</f>
        <v>0</v>
      </c>
      <c r="K89" s="122" t="e">
        <f aca="false">E89/H89</f>
        <v>#VALUE!</v>
      </c>
    </row>
    <row r="90" customFormat="false" ht="16.15" hidden="false" customHeight="false" outlineLevel="0" collapsed="false">
      <c r="B90" s="54" t="s">
        <v>516</v>
      </c>
      <c r="C90" s="54" t="s">
        <v>517</v>
      </c>
      <c r="D90" s="138" t="n">
        <f aca="false">IFERROR(__xludf.dummyfunction("GOOGLEFINANCE(C90,""price"")"),512.77)</f>
        <v>512.77</v>
      </c>
      <c r="E90" s="54" t="str">
        <f aca="false">IFERROR(__xludf.dummyfunction("split(IMPORTXML(concatenate(""https://finance.yahoo.com/quote/"",C90),$J$5),""()"")"),"#N/A")</f>
        <v>#N/A</v>
      </c>
      <c r="F90" s="100"/>
      <c r="G90" s="140" t="n">
        <f aca="false">IFERROR(__xludf.dummyfunction("GOOGLEFINANCE(C90,""pe"")"),24.83)</f>
        <v>24.83</v>
      </c>
      <c r="H90" s="100" t="n">
        <f aca="false">IFERROR(__xludf.dummyfunction("GOOGLEFINANCE(C90,""eps"")"),20.65)</f>
        <v>20.65</v>
      </c>
      <c r="I90" s="122" t="n">
        <f aca="false">H90/D90</f>
        <v>0.0402714667394738</v>
      </c>
      <c r="J90" s="141" t="n">
        <f aca="false">F90*I90*100*100</f>
        <v>0</v>
      </c>
      <c r="K90" s="122" t="e">
        <f aca="false">E90/H90</f>
        <v>#VALUE!</v>
      </c>
    </row>
    <row r="91" customFormat="false" ht="16.15" hidden="false" customHeight="false" outlineLevel="0" collapsed="false">
      <c r="B91" s="54" t="s">
        <v>518</v>
      </c>
      <c r="C91" s="54" t="s">
        <v>519</v>
      </c>
      <c r="D91" s="138" t="n">
        <f aca="false">IFERROR(__xludf.dummyfunction("GOOGLEFINANCE(C91,""price"")"),48.11)</f>
        <v>48.11</v>
      </c>
      <c r="E91" s="54" t="str">
        <f aca="false">IFERROR(__xludf.dummyfunction("split(IMPORTXML(concatenate(""https://finance.yahoo.com/quote/"",C91),$J$5),""()"")"),"#N/A")</f>
        <v>#N/A</v>
      </c>
      <c r="F91" s="100"/>
      <c r="G91" s="140" t="n">
        <f aca="false">IFERROR(__xludf.dummyfunction("GOOGLEFINANCE(C91,""pe"")"),11.72)</f>
        <v>11.72</v>
      </c>
      <c r="H91" s="100" t="n">
        <f aca="false">IFERROR(__xludf.dummyfunction("GOOGLEFINANCE(C91,""eps"")"),4.1)</f>
        <v>4.1</v>
      </c>
      <c r="I91" s="122" t="n">
        <f aca="false">H91/D91</f>
        <v>0.0852213676990231</v>
      </c>
      <c r="J91" s="141" t="n">
        <f aca="false">F91*I91*100*100</f>
        <v>0</v>
      </c>
      <c r="K91" s="122" t="e">
        <f aca="false">E91/H91</f>
        <v>#VALUE!</v>
      </c>
    </row>
    <row r="92" customFormat="false" ht="16.15" hidden="false" customHeight="false" outlineLevel="0" collapsed="false">
      <c r="B92" s="54" t="s">
        <v>520</v>
      </c>
      <c r="C92" s="54" t="s">
        <v>521</v>
      </c>
      <c r="D92" s="138" t="n">
        <f aca="false">IFERROR(__xludf.dummyfunction("GOOGLEFINANCE(C92,""price"")"),280.25)</f>
        <v>280.25</v>
      </c>
      <c r="E92" s="54" t="str">
        <f aca="false">IFERROR(__xludf.dummyfunction("split(IMPORTXML(concatenate(""https://finance.yahoo.com/quote/"",C92),$J$5),""()"")"),"#N/A")</f>
        <v>#N/A</v>
      </c>
      <c r="F92" s="100"/>
      <c r="G92" s="140" t="n">
        <f aca="false">IFERROR(__xludf.dummyfunction("GOOGLEFINANCE(C92,""pe"")"),33.89)</f>
        <v>33.89</v>
      </c>
      <c r="H92" s="100" t="n">
        <f aca="false">IFERROR(__xludf.dummyfunction("GOOGLEFINANCE(C92,""eps"")"),8.27)</f>
        <v>8.27</v>
      </c>
      <c r="I92" s="122" t="n">
        <f aca="false">H92/D92</f>
        <v>0.0295093666369313</v>
      </c>
      <c r="J92" s="141" t="n">
        <f aca="false">F92*I92*100*100</f>
        <v>0</v>
      </c>
      <c r="K92" s="122" t="e">
        <f aca="false">E92/H92</f>
        <v>#VALUE!</v>
      </c>
    </row>
    <row r="93" customFormat="false" ht="16.15" hidden="false" customHeight="false" outlineLevel="0" collapsed="false">
      <c r="B93" s="54" t="s">
        <v>522</v>
      </c>
      <c r="C93" s="54" t="s">
        <v>523</v>
      </c>
      <c r="D93" s="138" t="n">
        <f aca="false">IFERROR(__xludf.dummyfunction("GOOGLEFINANCE(C93,""price"")"),99.61)</f>
        <v>99.61</v>
      </c>
      <c r="E93" s="54" t="str">
        <f aca="false">IFERROR(__xludf.dummyfunction("split(IMPORTXML(concatenate(""https://finance.yahoo.com/quote/"",C93),$J$5),""()"")"),"#N/A")</f>
        <v>#N/A</v>
      </c>
      <c r="F93" s="100"/>
      <c r="G93" s="140" t="str">
        <f aca="false">IFERROR(__xludf.dummyfunction("GOOGLEFINANCE(C93,""pe"")"),"#N/A")</f>
        <v>#N/A</v>
      </c>
      <c r="H93" s="100" t="n">
        <f aca="false">IFERROR(__xludf.dummyfunction("GOOGLEFINANCE(C93,""eps"")"),-0.63)</f>
        <v>-0.63</v>
      </c>
      <c r="I93" s="122" t="n">
        <f aca="false">H93/D93</f>
        <v>-0.00632466619817287</v>
      </c>
      <c r="J93" s="141" t="n">
        <f aca="false">F93*I93*100*100</f>
        <v>-0</v>
      </c>
      <c r="K93" s="122" t="e">
        <f aca="false">E93/H93</f>
        <v>#VALUE!</v>
      </c>
    </row>
    <row r="94" customFormat="false" ht="16.15" hidden="false" customHeight="false" outlineLevel="0" collapsed="false">
      <c r="B94" s="54" t="s">
        <v>524</v>
      </c>
      <c r="C94" s="54" t="s">
        <v>525</v>
      </c>
      <c r="D94" s="138" t="n">
        <f aca="false">IFERROR(__xludf.dummyfunction("GOOGLEFINANCE(C94,""price"")"),23.38)</f>
        <v>23.38</v>
      </c>
      <c r="E94" s="54" t="str">
        <f aca="false">IFERROR(__xludf.dummyfunction("split(IMPORTXML(concatenate(""https://finance.yahoo.com/quote/"",C94),$J$5),""()"")"),"#N/A")</f>
        <v>#N/A</v>
      </c>
      <c r="F94" s="100"/>
      <c r="G94" s="140" t="n">
        <f aca="false">IFERROR(__xludf.dummyfunction("GOOGLEFINANCE(C94,""pe"")"),27.02)</f>
        <v>27.02</v>
      </c>
      <c r="H94" s="100" t="n">
        <f aca="false">IFERROR(__xludf.dummyfunction("GOOGLEFINANCE(C94,""eps"")"),0.87)</f>
        <v>0.87</v>
      </c>
      <c r="I94" s="122" t="n">
        <f aca="false">H94/D94</f>
        <v>0.0372112917023097</v>
      </c>
      <c r="J94" s="141" t="n">
        <f aca="false">F94*I94*100*100</f>
        <v>0</v>
      </c>
      <c r="K94" s="122" t="e">
        <f aca="false">E94/H94</f>
        <v>#VALUE!</v>
      </c>
    </row>
    <row r="95" customFormat="false" ht="16.15" hidden="false" customHeight="false" outlineLevel="0" collapsed="false">
      <c r="B95" s="54" t="s">
        <v>526</v>
      </c>
      <c r="C95" s="54" t="s">
        <v>527</v>
      </c>
      <c r="D95" s="138" t="str">
        <f aca="false">IFERROR(__xludf.dummyfunction("GOOGLEFINANCE(C95,""price"")"),"#N/A")</f>
        <v>#N/A</v>
      </c>
      <c r="E95" s="54" t="str">
        <f aca="false">IFERROR(__xludf.dummyfunction("split(IMPORTXML(concatenate(""https://finance.yahoo.com/quote/"",C95),$J$5),""()"")"),"#N/A")</f>
        <v>#N/A</v>
      </c>
      <c r="F95" s="100"/>
      <c r="G95" s="140" t="str">
        <f aca="false">IFERROR(__xludf.dummyfunction("GOOGLEFINANCE(C95,""pe"")"),"#N/A")</f>
        <v>#N/A</v>
      </c>
      <c r="H95" s="100" t="str">
        <f aca="false">IFERROR(__xludf.dummyfunction("GOOGLEFINANCE(C95,""eps"")"),"#N/A")</f>
        <v>#N/A</v>
      </c>
      <c r="I95" s="122" t="e">
        <f aca="false">H95/D95</f>
        <v>#VALUE!</v>
      </c>
      <c r="J95" s="141" t="e">
        <f aca="false">F95*I95*100*100</f>
        <v>#VALUE!</v>
      </c>
      <c r="K95" s="122" t="e">
        <f aca="false">E95/H95</f>
        <v>#VALUE!</v>
      </c>
    </row>
    <row r="96" customFormat="false" ht="16.15" hidden="false" customHeight="false" outlineLevel="0" collapsed="false">
      <c r="B96" s="54" t="s">
        <v>528</v>
      </c>
      <c r="C96" s="54" t="s">
        <v>529</v>
      </c>
      <c r="D96" s="138" t="n">
        <f aca="false">IFERROR(__xludf.dummyfunction("GOOGLEFINANCE(C96,""price"")"),0.04)</f>
        <v>0.04</v>
      </c>
      <c r="E96" s="54" t="str">
        <f aca="false">IFERROR(__xludf.dummyfunction("split(IMPORTXML(concatenate(""https://finance.yahoo.com/quote/"",C96),$J$5),""()"")"),"#N/A")</f>
        <v>#N/A</v>
      </c>
      <c r="F96" s="100"/>
      <c r="G96" s="140" t="str">
        <f aca="false">IFERROR(__xludf.dummyfunction("GOOGLEFINANCE(C96,""pe"")"),"#N/A")</f>
        <v>#N/A</v>
      </c>
      <c r="H96" s="100" t="n">
        <f aca="false">IFERROR(__xludf.dummyfunction("GOOGLEFINANCE(C96,""eps"")"),-0.02)</f>
        <v>-0.02</v>
      </c>
      <c r="I96" s="122" t="n">
        <f aca="false">H96/D96</f>
        <v>-0.5</v>
      </c>
      <c r="J96" s="141" t="n">
        <f aca="false">F96*I96*100*100</f>
        <v>-0</v>
      </c>
      <c r="K96" s="122" t="e">
        <f aca="false">E96/H96</f>
        <v>#VALUE!</v>
      </c>
    </row>
    <row r="97" customFormat="false" ht="16.15" hidden="false" customHeight="false" outlineLevel="0" collapsed="false">
      <c r="B97" s="54" t="s">
        <v>530</v>
      </c>
      <c r="C97" s="54" t="s">
        <v>531</v>
      </c>
      <c r="D97" s="138" t="n">
        <f aca="false">IFERROR(__xludf.dummyfunction("GOOGLEFINANCE(C97,""price"")"),20.36)</f>
        <v>20.36</v>
      </c>
      <c r="E97" s="54" t="str">
        <f aca="false">IFERROR(__xludf.dummyfunction("split(IMPORTXML(concatenate(""https://finance.yahoo.com/quote/"",C97),$J$5),""()"")"),"#N/A")</f>
        <v>#N/A</v>
      </c>
      <c r="F97" s="100"/>
      <c r="G97" s="140" t="n">
        <f aca="false">IFERROR(__xludf.dummyfunction("GOOGLEFINANCE(C97,""pe"")"),32.22)</f>
        <v>32.22</v>
      </c>
      <c r="H97" s="100" t="n">
        <f aca="false">IFERROR(__xludf.dummyfunction("GOOGLEFINANCE(C97,""eps"")"),0.63)</f>
        <v>0.63</v>
      </c>
      <c r="I97" s="122" t="n">
        <f aca="false">H97/D97</f>
        <v>0.0309430255402751</v>
      </c>
      <c r="J97" s="141" t="n">
        <f aca="false">F97*I97*100*100</f>
        <v>0</v>
      </c>
      <c r="K97" s="122" t="e">
        <f aca="false">E97/H97</f>
        <v>#VALUE!</v>
      </c>
    </row>
    <row r="98" customFormat="false" ht="16.15" hidden="false" customHeight="false" outlineLevel="0" collapsed="false">
      <c r="B98" s="54" t="s">
        <v>532</v>
      </c>
      <c r="C98" s="54" t="s">
        <v>533</v>
      </c>
      <c r="D98" s="138" t="n">
        <f aca="false">IFERROR(__xludf.dummyfunction("GOOGLEFINANCE(C98,""price"")"),26.34)</f>
        <v>26.34</v>
      </c>
      <c r="E98" s="54" t="str">
        <f aca="false">IFERROR(__xludf.dummyfunction("split(IMPORTXML(concatenate(""https://finance.yahoo.com/quote/"",C98),$J$5),""()"")"),"#N/A")</f>
        <v>#N/A</v>
      </c>
      <c r="F98" s="100"/>
      <c r="G98" s="140" t="n">
        <f aca="false">IFERROR(__xludf.dummyfunction("GOOGLEFINANCE(C98,""pe"")"),19.86)</f>
        <v>19.86</v>
      </c>
      <c r="H98" s="100" t="n">
        <f aca="false">IFERROR(__xludf.dummyfunction("GOOGLEFINANCE(C98,""eps"")"),1.33)</f>
        <v>1.33</v>
      </c>
      <c r="I98" s="122" t="n">
        <f aca="false">H98/D98</f>
        <v>0.0504935459377373</v>
      </c>
      <c r="J98" s="141" t="n">
        <f aca="false">F98*I98*100*100</f>
        <v>0</v>
      </c>
      <c r="K98" s="122" t="e">
        <f aca="false">E98/H98</f>
        <v>#VALUE!</v>
      </c>
    </row>
    <row r="99" customFormat="false" ht="16.15" hidden="false" customHeight="false" outlineLevel="0" collapsed="false">
      <c r="B99" s="54" t="s">
        <v>534</v>
      </c>
      <c r="C99" s="54" t="s">
        <v>535</v>
      </c>
      <c r="D99" s="138" t="n">
        <f aca="false">IFERROR(__xludf.dummyfunction("GOOGLEFINANCE(C99,""price"")"),10.34)</f>
        <v>10.34</v>
      </c>
      <c r="E99" s="54" t="str">
        <f aca="false">IFERROR(__xludf.dummyfunction("split(IMPORTXML(concatenate(""https://finance.yahoo.com/quote/"",C99),$J$5),""()"")"),"#N/A")</f>
        <v>#N/A</v>
      </c>
      <c r="F99" s="100"/>
      <c r="G99" s="140" t="n">
        <f aca="false">IFERROR(__xludf.dummyfunction("GOOGLEFINANCE(C99,""pe"")"),23.71)</f>
        <v>23.71</v>
      </c>
      <c r="H99" s="100" t="n">
        <f aca="false">IFERROR(__xludf.dummyfunction("GOOGLEFINANCE(C99,""eps"")"),0.44)</f>
        <v>0.44</v>
      </c>
      <c r="I99" s="122" t="n">
        <f aca="false">H99/D99</f>
        <v>0.0425531914893617</v>
      </c>
      <c r="J99" s="141" t="n">
        <f aca="false">F99*I99*100*100</f>
        <v>0</v>
      </c>
      <c r="K99" s="122" t="e">
        <f aca="false">E99/H99</f>
        <v>#VALUE!</v>
      </c>
      <c r="M99" s="114" t="s">
        <v>406</v>
      </c>
    </row>
    <row r="100" customFormat="false" ht="16.15" hidden="false" customHeight="false" outlineLevel="0" collapsed="false">
      <c r="B100" s="54" t="s">
        <v>536</v>
      </c>
      <c r="C100" s="54" t="s">
        <v>537</v>
      </c>
      <c r="D100" s="138" t="n">
        <f aca="false">IFERROR(__xludf.dummyfunction("GOOGLEFINANCE(C100,""price"")"),46.98)</f>
        <v>46.98</v>
      </c>
      <c r="E100" s="54" t="str">
        <f aca="false">IFERROR(__xludf.dummyfunction("split(IMPORTXML(concatenate(""https://finance.yahoo.com/quote/"",C100),$J$5),""()"")"),"#N/A")</f>
        <v>#N/A</v>
      </c>
      <c r="F100" s="100"/>
      <c r="G100" s="140" t="n">
        <f aca="false">IFERROR(__xludf.dummyfunction("GOOGLEFINANCE(C100,""pe"")"),22.77)</f>
        <v>22.77</v>
      </c>
      <c r="H100" s="100" t="n">
        <f aca="false">IFERROR(__xludf.dummyfunction("GOOGLEFINANCE(C100,""eps"")"),2.06)</f>
        <v>2.06</v>
      </c>
      <c r="I100" s="122" t="n">
        <f aca="false">H100/D100</f>
        <v>0.0438484461472967</v>
      </c>
      <c r="J100" s="141" t="n">
        <f aca="false">F100*I100*100*100</f>
        <v>0</v>
      </c>
      <c r="K100" s="122" t="e">
        <f aca="false">E100/H100</f>
        <v>#VALUE!</v>
      </c>
    </row>
    <row r="101" customFormat="false" ht="16.15" hidden="false" customHeight="false" outlineLevel="0" collapsed="false">
      <c r="B101" s="54" t="s">
        <v>538</v>
      </c>
      <c r="C101" s="54" t="s">
        <v>539</v>
      </c>
      <c r="D101" s="138" t="n">
        <f aca="false">IFERROR(__xludf.dummyfunction("GOOGLEFINANCE(C101,""price"")"),11.77)</f>
        <v>11.77</v>
      </c>
      <c r="E101" s="54" t="str">
        <f aca="false">IFERROR(__xludf.dummyfunction("split(IMPORTXML(concatenate(""https://finance.yahoo.com/quote/"",C101),$J$5),""()"")"),"#N/A")</f>
        <v>#N/A</v>
      </c>
      <c r="F101" s="100"/>
      <c r="G101" s="140" t="n">
        <f aca="false">IFERROR(__xludf.dummyfunction("GOOGLEFINANCE(C101,""pe"")"),2.42)</f>
        <v>2.42</v>
      </c>
      <c r="H101" s="100" t="n">
        <f aca="false">IFERROR(__xludf.dummyfunction("GOOGLEFINANCE(C101,""eps"")"),4.87)</f>
        <v>4.87</v>
      </c>
      <c r="I101" s="122" t="n">
        <f aca="false">H101/D101</f>
        <v>0.413763806287171</v>
      </c>
      <c r="J101" s="141" t="n">
        <f aca="false">F101*I101*100*100</f>
        <v>0</v>
      </c>
      <c r="K101" s="122" t="e">
        <f aca="false">E101/H101</f>
        <v>#VALUE!</v>
      </c>
    </row>
    <row r="102" customFormat="false" ht="16.15" hidden="false" customHeight="false" outlineLevel="0" collapsed="false">
      <c r="B102" s="54" t="s">
        <v>540</v>
      </c>
      <c r="C102" s="54" t="s">
        <v>541</v>
      </c>
      <c r="D102" s="138" t="n">
        <f aca="false">IFERROR(__xludf.dummyfunction("GOOGLEFINANCE(C102,""price"")"),74.55)</f>
        <v>74.55</v>
      </c>
      <c r="E102" s="54" t="str">
        <f aca="false">IFERROR(__xludf.dummyfunction("split(IMPORTXML(concatenate(""https://finance.yahoo.com/quote/"",C102),$J$5),""()"")"),"#N/A")</f>
        <v>#N/A</v>
      </c>
      <c r="F102" s="100"/>
      <c r="G102" s="140" t="n">
        <f aca="false">IFERROR(__xludf.dummyfunction("GOOGLEFINANCE(C102,""pe"")"),15.58)</f>
        <v>15.58</v>
      </c>
      <c r="H102" s="100" t="n">
        <f aca="false">IFERROR(__xludf.dummyfunction("GOOGLEFINANCE(C102,""eps"")"),4.78)</f>
        <v>4.78</v>
      </c>
      <c r="I102" s="122" t="n">
        <f aca="false">H102/D102</f>
        <v>0.0641180415828303</v>
      </c>
      <c r="J102" s="141" t="n">
        <f aca="false">F102*I102*100*100</f>
        <v>0</v>
      </c>
      <c r="K102" s="122" t="e">
        <f aca="false">E102/H102</f>
        <v>#VALUE!</v>
      </c>
      <c r="M102" s="114" t="s">
        <v>406</v>
      </c>
    </row>
    <row r="103" customFormat="false" ht="16.15" hidden="false" customHeight="false" outlineLevel="0" collapsed="false">
      <c r="B103" s="54" t="s">
        <v>542</v>
      </c>
      <c r="C103" s="54" t="s">
        <v>543</v>
      </c>
      <c r="D103" s="138" t="n">
        <f aca="false">IFERROR(__xludf.dummyfunction("GOOGLEFINANCE(C103,""price"")"),63.94)</f>
        <v>63.94</v>
      </c>
      <c r="E103" s="54" t="str">
        <f aca="false">IFERROR(__xludf.dummyfunction("split(IMPORTXML(concatenate(""https://finance.yahoo.com/quote/"",C103),$J$5),""()"")"),"#N/A")</f>
        <v>#N/A</v>
      </c>
      <c r="F103" s="100"/>
      <c r="G103" s="140" t="n">
        <f aca="false">IFERROR(__xludf.dummyfunction("GOOGLEFINANCE(C103,""pe"")"),18.43)</f>
        <v>18.43</v>
      </c>
      <c r="H103" s="100" t="n">
        <f aca="false">IFERROR(__xludf.dummyfunction("GOOGLEFINANCE(C103,""eps"")"),3.47)</f>
        <v>3.47</v>
      </c>
      <c r="I103" s="122" t="n">
        <f aca="false">H103/D103</f>
        <v>0.05426962777604</v>
      </c>
      <c r="J103" s="141" t="n">
        <f aca="false">F103*I103*100*100</f>
        <v>0</v>
      </c>
      <c r="K103" s="122" t="e">
        <f aca="false">E103/H103</f>
        <v>#VALUE!</v>
      </c>
      <c r="M103" s="114"/>
    </row>
    <row r="104" customFormat="false" ht="16.15" hidden="false" customHeight="false" outlineLevel="0" collapsed="false">
      <c r="B104" s="54" t="s">
        <v>544</v>
      </c>
      <c r="C104" s="54" t="s">
        <v>545</v>
      </c>
      <c r="D104" s="138" t="n">
        <f aca="false">IFERROR(__xludf.dummyfunction("GOOGLEFINANCE(C104,""price"")"),22.49)</f>
        <v>22.49</v>
      </c>
      <c r="E104" s="54" t="str">
        <f aca="false">IFERROR(__xludf.dummyfunction("split(IMPORTXML(concatenate(""https://finance.yahoo.com/quote/"",C104),$J$5),""()"")"),"#N/A")</f>
        <v>#N/A</v>
      </c>
      <c r="F104" s="100"/>
      <c r="G104" s="140" t="str">
        <f aca="false">IFERROR(__xludf.dummyfunction("GOOGLEFINANCE(C104,""pe"")"),"#N/A")</f>
        <v>#N/A</v>
      </c>
      <c r="H104" s="100" t="n">
        <f aca="false">IFERROR(__xludf.dummyfunction("GOOGLEFINANCE(C104,""eps"")"),-4.93)</f>
        <v>-4.93</v>
      </c>
      <c r="I104" s="122" t="n">
        <f aca="false">H104/D104</f>
        <v>-0.219208537127612</v>
      </c>
      <c r="J104" s="141" t="n">
        <f aca="false">F104*I104*100*100</f>
        <v>-0</v>
      </c>
      <c r="K104" s="122" t="e">
        <f aca="false">E104/H104</f>
        <v>#VALUE!</v>
      </c>
      <c r="M104" s="114"/>
    </row>
    <row r="105" customFormat="false" ht="16.15" hidden="false" customHeight="false" outlineLevel="0" collapsed="false">
      <c r="B105" s="143" t="s">
        <v>546</v>
      </c>
      <c r="C105" s="54" t="s">
        <v>547</v>
      </c>
      <c r="D105" s="138" t="n">
        <f aca="false">IFERROR(__xludf.dummyfunction("GOOGLEFINANCE(C105,""price"")"),0.37)</f>
        <v>0.37</v>
      </c>
      <c r="E105" s="54" t="str">
        <f aca="false">IFERROR(__xludf.dummyfunction("split(IMPORTXML(concatenate(""https://finance.yahoo.com/quote/"",C105),$J$5),""()"")"),"#N/A")</f>
        <v>#N/A</v>
      </c>
      <c r="F105" s="100"/>
      <c r="G105" s="140" t="n">
        <f aca="false">IFERROR(__xludf.dummyfunction("GOOGLEFINANCE(C105,""pe"")"),18.69)</f>
        <v>18.69</v>
      </c>
      <c r="H105" s="100" t="n">
        <f aca="false">IFERROR(__xludf.dummyfunction("GOOGLEFINANCE(C105,""eps"")"),0.02)</f>
        <v>0.02</v>
      </c>
      <c r="I105" s="122" t="n">
        <f aca="false">H105/D105</f>
        <v>0.0540540540540541</v>
      </c>
      <c r="J105" s="141" t="n">
        <f aca="false">F105*I105*100*100</f>
        <v>0</v>
      </c>
      <c r="K105" s="122" t="e">
        <f aca="false">E105/H105</f>
        <v>#VALUE!</v>
      </c>
      <c r="M105" s="114" t="s">
        <v>406</v>
      </c>
    </row>
    <row r="106" customFormat="false" ht="16.15" hidden="false" customHeight="false" outlineLevel="0" collapsed="false">
      <c r="B106" s="54" t="s">
        <v>548</v>
      </c>
      <c r="C106" s="54" t="s">
        <v>549</v>
      </c>
      <c r="D106" s="138" t="n">
        <f aca="false">IFERROR(__xludf.dummyfunction("GOOGLEFINANCE(C106,""price"")"),38.58)</f>
        <v>38.58</v>
      </c>
      <c r="E106" s="54" t="str">
        <f aca="false">IFERROR(__xludf.dummyfunction("split(IMPORTXML(concatenate(""https://finance.yahoo.com/quote/"",C106),$J$5),""()"")"),"#N/A")</f>
        <v>#N/A</v>
      </c>
      <c r="F106" s="100"/>
      <c r="G106" s="140" t="n">
        <f aca="false">IFERROR(__xludf.dummyfunction("GOOGLEFINANCE(C106,""pe"")"),29.8)</f>
        <v>29.8</v>
      </c>
      <c r="H106" s="100" t="n">
        <f aca="false">IFERROR(__xludf.dummyfunction("GOOGLEFINANCE(C106,""eps"")"),1.29)</f>
        <v>1.29</v>
      </c>
      <c r="I106" s="122" t="n">
        <f aca="false">H106/D106</f>
        <v>0.0334370139968896</v>
      </c>
      <c r="J106" s="141" t="n">
        <f aca="false">F106*I106*100*100</f>
        <v>0</v>
      </c>
      <c r="K106" s="122" t="e">
        <f aca="false">E106/H106</f>
        <v>#VALUE!</v>
      </c>
    </row>
    <row r="107" customFormat="false" ht="16.15" hidden="false" customHeight="false" outlineLevel="0" collapsed="false">
      <c r="B107" s="54" t="s">
        <v>550</v>
      </c>
      <c r="C107" s="144" t="s">
        <v>551</v>
      </c>
      <c r="D107" s="138" t="n">
        <f aca="false">IFERROR(__xludf.dummyfunction("GOOGLEFINANCE(C107,""price"")"),5.54)</f>
        <v>5.54</v>
      </c>
      <c r="E107" s="54" t="str">
        <f aca="false">IFERROR(__xludf.dummyfunction("split(IMPORTXML(concatenate(""https://finance.yahoo.com/quote/"",C107),$J$5),""()"")"),"#N/A")</f>
        <v>#N/A</v>
      </c>
      <c r="F107" s="100"/>
      <c r="G107" s="140" t="str">
        <f aca="false">IFERROR(__xludf.dummyfunction("GOOGLEFINANCE(C107,""pe"")"),"#N/A")</f>
        <v>#N/A</v>
      </c>
      <c r="H107" s="100" t="n">
        <f aca="false">IFERROR(__xludf.dummyfunction("GOOGLEFINANCE(C107,""eps"")"),-0.55)</f>
        <v>-0.55</v>
      </c>
      <c r="I107" s="122" t="n">
        <f aca="false">H107/D107</f>
        <v>-0.0992779783393502</v>
      </c>
      <c r="J107" s="141" t="n">
        <f aca="false">F107*I107*100*100</f>
        <v>-0</v>
      </c>
      <c r="K107" s="122" t="e">
        <f aca="false">E107/H107</f>
        <v>#VALUE!</v>
      </c>
    </row>
    <row r="108" customFormat="false" ht="16.15" hidden="false" customHeight="false" outlineLevel="0" collapsed="false">
      <c r="B108" s="54" t="s">
        <v>552</v>
      </c>
      <c r="C108" s="54" t="s">
        <v>553</v>
      </c>
      <c r="D108" s="138" t="n">
        <f aca="false">IFERROR(__xludf.dummyfunction("GOOGLEFINANCE(C108,""price"")"),11.88)</f>
        <v>11.88</v>
      </c>
      <c r="E108" s="54" t="str">
        <f aca="false">IFERROR(__xludf.dummyfunction("split(IMPORTXML(concatenate(""https://finance.yahoo.com/quote/"",C108),$J$5),""()"")"),"#N/A")</f>
        <v>#N/A</v>
      </c>
      <c r="F108" s="100"/>
      <c r="G108" s="140" t="str">
        <f aca="false">IFERROR(__xludf.dummyfunction("GOOGLEFINANCE(C108,""pe"")"),"#N/A")</f>
        <v>#N/A</v>
      </c>
      <c r="H108" s="100" t="n">
        <f aca="false">IFERROR(__xludf.dummyfunction("GOOGLEFINANCE(C108,""eps"")"),-1.56)</f>
        <v>-1.56</v>
      </c>
      <c r="I108" s="122" t="n">
        <f aca="false">H108/D108</f>
        <v>-0.131313131313131</v>
      </c>
      <c r="J108" s="141" t="n">
        <f aca="false">F108*I108*100*100</f>
        <v>-0</v>
      </c>
      <c r="K108" s="122" t="e">
        <f aca="false">E108/H108</f>
        <v>#VALUE!</v>
      </c>
      <c r="M108" s="114" t="s">
        <v>406</v>
      </c>
    </row>
    <row r="109" customFormat="false" ht="16.15" hidden="false" customHeight="false" outlineLevel="0" collapsed="false">
      <c r="B109" s="54" t="s">
        <v>554</v>
      </c>
      <c r="C109" s="54" t="s">
        <v>555</v>
      </c>
      <c r="D109" s="138" t="n">
        <f aca="false">IFERROR(__xludf.dummyfunction("GOOGLEFINANCE(C109,""price"")"),111.96)</f>
        <v>111.96</v>
      </c>
      <c r="E109" s="54" t="str">
        <f aca="false">IFERROR(__xludf.dummyfunction("split(IMPORTXML(concatenate(""https://finance.yahoo.com/quote/"",C109),$J$5),""()"")"),"#N/A")</f>
        <v>#N/A</v>
      </c>
      <c r="F109" s="100"/>
      <c r="G109" s="140" t="n">
        <f aca="false">IFERROR(__xludf.dummyfunction("GOOGLEFINANCE(C109,""pe"")"),20.03)</f>
        <v>20.03</v>
      </c>
      <c r="H109" s="100" t="n">
        <f aca="false">IFERROR(__xludf.dummyfunction("GOOGLEFINANCE(C109,""eps"")"),5.59)</f>
        <v>5.59</v>
      </c>
      <c r="I109" s="122" t="n">
        <f aca="false">H109/D109</f>
        <v>0.0499285459092533</v>
      </c>
      <c r="J109" s="141" t="n">
        <f aca="false">F109*I109*100*100</f>
        <v>0</v>
      </c>
      <c r="K109" s="122" t="e">
        <f aca="false">E109/H109</f>
        <v>#VALUE!</v>
      </c>
    </row>
    <row r="110" customFormat="false" ht="16.15" hidden="false" customHeight="false" outlineLevel="0" collapsed="false">
      <c r="B110" s="54" t="s">
        <v>556</v>
      </c>
      <c r="C110" s="54" t="s">
        <v>557</v>
      </c>
      <c r="D110" s="138" t="n">
        <f aca="false">IFERROR(__xludf.dummyfunction("GOOGLEFINANCE(C110,""price"")"),96.97)</f>
        <v>96.97</v>
      </c>
      <c r="E110" s="54" t="str">
        <f aca="false">IFERROR(__xludf.dummyfunction("split(IMPORTXML(concatenate(""https://finance.yahoo.com/quote/"",C110),$J$5),""()"")"),"#N/A")</f>
        <v>#N/A</v>
      </c>
      <c r="F110" s="100"/>
      <c r="G110" s="140" t="str">
        <f aca="false">IFERROR(__xludf.dummyfunction("GOOGLEFINANCE(C110,""pe"")"),"#N/A")</f>
        <v>#N/A</v>
      </c>
      <c r="H110" s="100" t="n">
        <f aca="false">IFERROR(__xludf.dummyfunction("GOOGLEFINANCE(C110,""eps"")"),-11.79)</f>
        <v>-11.79</v>
      </c>
      <c r="I110" s="122" t="n">
        <f aca="false">H110/D110</f>
        <v>-0.121583995050015</v>
      </c>
      <c r="J110" s="141" t="n">
        <f aca="false">F110*I110*100*100</f>
        <v>-0</v>
      </c>
      <c r="K110" s="122" t="e">
        <f aca="false">E110/H110</f>
        <v>#VALUE!</v>
      </c>
    </row>
    <row r="111" customFormat="false" ht="16.15" hidden="false" customHeight="false" outlineLevel="0" collapsed="false">
      <c r="B111" s="54" t="s">
        <v>558</v>
      </c>
      <c r="C111" s="54" t="s">
        <v>559</v>
      </c>
      <c r="D111" s="138" t="n">
        <f aca="false">IFERROR(__xludf.dummyfunction("GOOGLEFINANCE(C111,""price"")"),280.95)</f>
        <v>280.95</v>
      </c>
      <c r="E111" s="54" t="str">
        <f aca="false">IFERROR(__xludf.dummyfunction("split(IMPORTXML(concatenate(""https://finance.yahoo.com/quote/"",C111),$J$5),""()"")"),"#N/A")</f>
        <v>#N/A</v>
      </c>
      <c r="F111" s="100"/>
      <c r="G111" s="140" t="n">
        <f aca="false">IFERROR(__xludf.dummyfunction("GOOGLEFINANCE(C111,""pe"")"),48.05)</f>
        <v>48.05</v>
      </c>
      <c r="H111" s="100" t="n">
        <f aca="false">IFERROR(__xludf.dummyfunction("GOOGLEFINANCE(C111,""eps"")"),5.85)</f>
        <v>5.85</v>
      </c>
      <c r="I111" s="122" t="n">
        <f aca="false">H111/D111</f>
        <v>0.0208222103577149</v>
      </c>
      <c r="J111" s="141" t="n">
        <f aca="false">F111*I111*100*100</f>
        <v>0</v>
      </c>
      <c r="K111" s="122" t="e">
        <f aca="false">E111/H111</f>
        <v>#VALUE!</v>
      </c>
    </row>
    <row r="112" customFormat="false" ht="16.15" hidden="false" customHeight="false" outlineLevel="0" collapsed="false">
      <c r="B112" s="54" t="s">
        <v>560</v>
      </c>
      <c r="C112" s="54" t="s">
        <v>561</v>
      </c>
      <c r="D112" s="138" t="n">
        <f aca="false">IFERROR(__xludf.dummyfunction("GOOGLEFINANCE(C112,""price"")"),393.67)</f>
        <v>393.67</v>
      </c>
      <c r="E112" s="54" t="str">
        <f aca="false">IFERROR(__xludf.dummyfunction("split(IMPORTXML(concatenate(""https://finance.yahoo.com/quote/"",C112),$J$5),""()"")"),"#N/A")</f>
        <v>#N/A</v>
      </c>
      <c r="F112" s="100"/>
      <c r="G112" s="140" t="n">
        <f aca="false">IFERROR(__xludf.dummyfunction("GOOGLEFINANCE(C112,""pe"")"),20.97)</f>
        <v>20.97</v>
      </c>
      <c r="H112" s="100" t="n">
        <f aca="false">IFERROR(__xludf.dummyfunction("GOOGLEFINANCE(C112,""eps"")"),18.77)</f>
        <v>18.77</v>
      </c>
      <c r="I112" s="122" t="n">
        <f aca="false">H112/D112</f>
        <v>0.0476795285391318</v>
      </c>
      <c r="J112" s="141" t="n">
        <f aca="false">F112*I112*100*100</f>
        <v>0</v>
      </c>
      <c r="K112" s="122" t="e">
        <f aca="false">E112/H112</f>
        <v>#VALUE!</v>
      </c>
    </row>
    <row r="113" customFormat="false" ht="16.15" hidden="false" customHeight="false" outlineLevel="0" collapsed="false">
      <c r="B113" s="54" t="s">
        <v>562</v>
      </c>
      <c r="C113" s="54" t="s">
        <v>563</v>
      </c>
      <c r="D113" s="138" t="n">
        <f aca="false">IFERROR(__xludf.dummyfunction("GOOGLEFINANCE(C113,""price"")"),312.47)</f>
        <v>312.47</v>
      </c>
      <c r="E113" s="54" t="str">
        <f aca="false">IFERROR(__xludf.dummyfunction("split(IMPORTXML(concatenate(""https://finance.yahoo.com/quote/"",C113),$J$5),""()"")"),"#N/A")</f>
        <v>#N/A</v>
      </c>
      <c r="F113" s="100"/>
      <c r="G113" s="140" t="n">
        <f aca="false">IFERROR(__xludf.dummyfunction("GOOGLEFINANCE(C113,""pe"")"),14.97)</f>
        <v>14.97</v>
      </c>
      <c r="H113" s="100" t="n">
        <f aca="false">IFERROR(__xludf.dummyfunction("GOOGLEFINANCE(C113,""eps"")"),20.88)</f>
        <v>20.88</v>
      </c>
      <c r="I113" s="122" t="n">
        <f aca="false">H113/D113</f>
        <v>0.0668224149518354</v>
      </c>
      <c r="J113" s="141" t="n">
        <f aca="false">F113*I113*100*100</f>
        <v>0</v>
      </c>
      <c r="K113" s="122" t="e">
        <f aca="false">E113/H113</f>
        <v>#VALUE!</v>
      </c>
    </row>
    <row r="114" customFormat="false" ht="16.15" hidden="false" customHeight="false" outlineLevel="0" collapsed="false">
      <c r="B114" s="54" t="s">
        <v>564</v>
      </c>
      <c r="C114" s="54" t="s">
        <v>565</v>
      </c>
      <c r="D114" s="138" t="n">
        <f aca="false">IFERROR(__xludf.dummyfunction("GOOGLEFINANCE(C114,""price"")"),80.81)</f>
        <v>80.81</v>
      </c>
      <c r="E114" s="54" t="str">
        <f aca="false">IFERROR(__xludf.dummyfunction("split(IMPORTXML(concatenate(""https://finance.yahoo.com/quote/"",C114),$J$5),""()"")"),"#N/A")</f>
        <v>#N/A</v>
      </c>
      <c r="F114" s="100"/>
      <c r="G114" s="140" t="n">
        <f aca="false">IFERROR(__xludf.dummyfunction("GOOGLEFINANCE(C114,""pe"")"),12.48)</f>
        <v>12.48</v>
      </c>
      <c r="H114" s="100" t="n">
        <f aca="false">IFERROR(__xludf.dummyfunction("GOOGLEFINANCE(C114,""eps"")"),6.48)</f>
        <v>6.48</v>
      </c>
      <c r="I114" s="122" t="n">
        <f aca="false">H114/D114</f>
        <v>0.0801880955327311</v>
      </c>
      <c r="J114" s="141" t="n">
        <f aca="false">F114*I114*100*100</f>
        <v>0</v>
      </c>
      <c r="K114" s="122" t="e">
        <f aca="false">E114/H114</f>
        <v>#VALUE!</v>
      </c>
    </row>
  </sheetData>
  <conditionalFormatting sqref="G32:G114 N18:N20 K32:K114">
    <cfRule type="colorScale" priority="2">
      <colorScale>
        <cfvo type="min" val="0"/>
        <cfvo type="percentile" val="50"/>
        <cfvo type="max" val="0"/>
        <color rgb="FF57BB8A"/>
        <color rgb="FFFFD666"/>
        <color rgb="FFE67C73"/>
      </colorScale>
    </cfRule>
  </conditionalFormatting>
  <conditionalFormatting sqref="F32:F114 I18:I20 J32:J114 H32:H114 I32:I114 L32:L38 P18:P20">
    <cfRule type="colorScale" priority="3">
      <colorScale>
        <cfvo type="min" val="0"/>
        <cfvo type="percentile" val="50"/>
        <cfvo type="max" val="0"/>
        <color rgb="FFE67C73"/>
        <color rgb="FFFFD666"/>
        <color rgb="FF57BB8A"/>
      </colorScale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T19" activeCellId="0" sqref="T19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6" width="4"/>
    <col collapsed="false" customWidth="true" hidden="false" outlineLevel="0" max="2" min="2" style="6" width="27.28"/>
    <col collapsed="false" customWidth="true" hidden="false" outlineLevel="0" max="3" min="3" style="6" width="9.88"/>
    <col collapsed="false" customWidth="true" hidden="false" outlineLevel="0" max="4" min="4" style="6" width="10.75"/>
    <col collapsed="false" customWidth="true" hidden="false" outlineLevel="0" max="5" min="5" style="6" width="10"/>
    <col collapsed="false" customWidth="true" hidden="false" outlineLevel="0" max="6" min="6" style="6" width="10.51"/>
    <col collapsed="false" customWidth="true" hidden="false" outlineLevel="0" max="9" min="7" style="6" width="9.51"/>
    <col collapsed="false" customWidth="true" hidden="false" outlineLevel="0" max="10" min="10" style="6" width="9.88"/>
    <col collapsed="false" customWidth="true" hidden="false" outlineLevel="0" max="11" min="11" style="6" width="9.13"/>
    <col collapsed="false" customWidth="true" hidden="false" outlineLevel="0" max="12" min="12" style="6" width="11.25"/>
    <col collapsed="false" customWidth="false" hidden="false" outlineLevel="0" max="15" min="13" style="6" width="12.63"/>
    <col collapsed="false" customWidth="true" hidden="false" outlineLevel="0" max="16" min="16" style="6" width="11.63"/>
    <col collapsed="false" customWidth="false" hidden="false" outlineLevel="0" max="16384" min="17" style="6" width="12.63"/>
  </cols>
  <sheetData>
    <row r="1" customFormat="false" ht="15.75" hidden="false" customHeight="false" outlineLevel="0" collapsed="false">
      <c r="A1" s="7"/>
    </row>
    <row r="2" customFormat="false" ht="15.75" hidden="false" customHeight="false" outlineLevel="0" collapsed="false">
      <c r="B2" s="7" t="s">
        <v>6</v>
      </c>
      <c r="D2" s="8" t="s">
        <v>7</v>
      </c>
      <c r="E2" s="8"/>
      <c r="F2" s="8"/>
      <c r="G2" s="9" t="n">
        <v>2025</v>
      </c>
      <c r="H2" s="9" t="s">
        <v>8</v>
      </c>
      <c r="I2" s="9" t="s">
        <v>9</v>
      </c>
      <c r="J2" s="9" t="s">
        <v>10</v>
      </c>
      <c r="K2" s="9" t="s">
        <v>11</v>
      </c>
      <c r="L2" s="10"/>
    </row>
    <row r="3" customFormat="false" ht="15.75" hidden="false" customHeight="false" outlineLevel="0" collapsed="false">
      <c r="B3" s="11" t="n">
        <v>2025</v>
      </c>
      <c r="D3" s="12" t="s">
        <v>12</v>
      </c>
      <c r="E3" s="12"/>
      <c r="F3" s="12"/>
      <c r="G3" s="12"/>
      <c r="H3" s="12"/>
      <c r="I3" s="13" t="n">
        <v>46142</v>
      </c>
      <c r="J3" s="14"/>
      <c r="K3" s="14"/>
    </row>
    <row r="4" customFormat="false" ht="15.75" hidden="false" customHeight="false" outlineLevel="0" collapsed="false">
      <c r="D4" s="15" t="s">
        <v>13</v>
      </c>
      <c r="E4" s="15"/>
      <c r="F4" s="15"/>
      <c r="G4" s="16" t="n">
        <f aca="false">'2025'!P25</f>
        <v>6098.9275</v>
      </c>
      <c r="H4" s="16" t="n">
        <f aca="false">G4*0.95</f>
        <v>5793.981125</v>
      </c>
      <c r="I4" s="16" t="n">
        <f aca="false">P24</f>
        <v>6473.545</v>
      </c>
      <c r="J4" s="17" t="n">
        <f aca="false">I4/G4-1</f>
        <v>0.06142350438</v>
      </c>
      <c r="K4" s="18" t="n">
        <f aca="false">J4/-0.05</f>
        <v>-1.228470088</v>
      </c>
      <c r="L4" s="19"/>
      <c r="N4" s="7" t="s">
        <v>14</v>
      </c>
      <c r="O4" s="6" t="n">
        <f aca="false">O27-(5269.35+23499.85)</f>
        <v>32290.39</v>
      </c>
    </row>
    <row r="5" customFormat="false" ht="15.75" hidden="false" customHeight="false" outlineLevel="0" collapsed="false">
      <c r="D5" s="15" t="s">
        <v>15</v>
      </c>
      <c r="E5" s="15"/>
      <c r="F5" s="15"/>
      <c r="G5" s="17" t="n">
        <f aca="false">'2025'!J5</f>
        <v>0.01533962453</v>
      </c>
      <c r="H5" s="17" t="n">
        <v>0.02</v>
      </c>
      <c r="I5" s="17" t="n">
        <f aca="true" t="array" ref="I5:I5">P30/INDIRECT(B3&amp;"!P31")-1</f>
        <v>0.235381626703594</v>
      </c>
      <c r="J5" s="17" t="n">
        <f aca="false">I5</f>
        <v>0.235381626703594</v>
      </c>
      <c r="K5" s="18" t="n">
        <f aca="false">(I5)/(0.02)</f>
        <v>11.7690813351797</v>
      </c>
      <c r="L5" s="19"/>
      <c r="N5" s="7" t="s">
        <v>3</v>
      </c>
      <c r="O5" s="6" t="n">
        <f aca="false">O30</f>
        <v>121133.76</v>
      </c>
    </row>
    <row r="6" customFormat="false" ht="15.75" hidden="false" customHeight="false" outlineLevel="0" collapsed="false">
      <c r="D6" s="15" t="s">
        <v>16</v>
      </c>
      <c r="E6" s="15"/>
      <c r="F6" s="15"/>
      <c r="G6" s="20" t="n">
        <f aca="true" t="array" ref="G6:G6">INDIRECT(B3&amp;"!O34")</f>
        <v>0.495360145280912</v>
      </c>
      <c r="H6" s="17" t="n">
        <f aca="true" t="array" ref="H6:H6">INDIRECT(B3&amp;"!O34")*1.02</f>
        <v>0.50526734818653</v>
      </c>
      <c r="I6" s="17" t="n">
        <f aca="false">O6</f>
        <v>0.7334319516</v>
      </c>
      <c r="J6" s="17" t="n">
        <f aca="false">I6/G6-1</f>
        <v>0.48060347322468</v>
      </c>
      <c r="K6" s="18" t="n">
        <f aca="false">(J6)/(0.02)</f>
        <v>24.030173661234</v>
      </c>
      <c r="L6" s="19"/>
      <c r="N6" s="7" t="s">
        <v>17</v>
      </c>
      <c r="O6" s="21" t="n">
        <f aca="false">MAX(0,(O5-O4)/O5)</f>
        <v>0.7334319516</v>
      </c>
    </row>
    <row r="7" customFormat="false" ht="15.75" hidden="false" customHeight="false" outlineLevel="0" collapsed="false">
      <c r="D7" s="15" t="s">
        <v>18</v>
      </c>
      <c r="E7" s="15"/>
      <c r="F7" s="15"/>
      <c r="G7" s="15" t="n">
        <v>2</v>
      </c>
      <c r="H7" s="16" t="n">
        <v>3</v>
      </c>
      <c r="I7" s="16" t="n">
        <f aca="false">C67</f>
        <v>2</v>
      </c>
      <c r="J7" s="16"/>
      <c r="K7" s="18" t="n">
        <f aca="false">I7/3</f>
        <v>0.6666666667</v>
      </c>
      <c r="L7" s="19"/>
    </row>
    <row r="8" customFormat="false" ht="15.75" hidden="false" customHeight="false" outlineLevel="0" collapsed="false">
      <c r="D8" s="22" t="s">
        <v>19</v>
      </c>
      <c r="E8" s="22"/>
      <c r="F8" s="22"/>
      <c r="G8" s="22"/>
      <c r="H8" s="22"/>
      <c r="I8" s="22"/>
      <c r="J8" s="22"/>
      <c r="K8" s="22"/>
      <c r="L8" s="10"/>
    </row>
    <row r="9" customFormat="false" ht="15.75" hidden="false" customHeight="false" outlineLevel="0" collapsed="false">
      <c r="D9" s="15" t="s">
        <v>20</v>
      </c>
      <c r="E9" s="15"/>
      <c r="F9" s="15"/>
      <c r="G9" s="23" t="n">
        <f aca="true" t="array" ref="G9:G9">INDIRECT(B3&amp;"!P56")</f>
        <v>63.5833333333333</v>
      </c>
      <c r="H9" s="23" t="n">
        <f aca="false">G9*1.05</f>
        <v>66.7625</v>
      </c>
      <c r="I9" s="16" t="n">
        <f aca="false">P49</f>
        <v>67.5</v>
      </c>
      <c r="J9" s="17" t="n">
        <f aca="false">I9/G9-1</f>
        <v>0.0615989515072084</v>
      </c>
      <c r="K9" s="18" t="n">
        <f aca="false">J9/0.05</f>
        <v>1.23197903014417</v>
      </c>
      <c r="L9" s="19"/>
    </row>
    <row r="10" customFormat="false" ht="15.75" hidden="false" customHeight="false" outlineLevel="0" collapsed="false">
      <c r="D10" s="15" t="s">
        <v>21</v>
      </c>
      <c r="E10" s="15"/>
      <c r="F10" s="15"/>
      <c r="G10" s="23" t="n">
        <f aca="true" t="array" ref="G10:G10">INDIRECT(B3&amp;"!P71")</f>
        <v>7.583333333</v>
      </c>
      <c r="H10" s="23" t="n">
        <f aca="false">G10*1.1</f>
        <v>8.3416666663</v>
      </c>
      <c r="I10" s="16" t="n">
        <f aca="false">P58</f>
        <v>7.75</v>
      </c>
      <c r="J10" s="17" t="n">
        <f aca="false">I10/G10-1</f>
        <v>0.0219780220229442</v>
      </c>
      <c r="K10" s="18" t="n">
        <f aca="false">J10/0.1</f>
        <v>0.219780220229442</v>
      </c>
      <c r="L10" s="19"/>
    </row>
    <row r="11" customFormat="false" ht="15.75" hidden="false" customHeight="false" outlineLevel="0" collapsed="false">
      <c r="D11" s="15" t="s">
        <v>22</v>
      </c>
      <c r="E11" s="15"/>
      <c r="F11" s="15"/>
      <c r="G11" s="24" t="n">
        <f aca="true" t="array" ref="G11:G11">INDIRECT(B3&amp;"!P62")</f>
        <v>14942.8396163095</v>
      </c>
      <c r="H11" s="16" t="n">
        <f aca="false">G11*1.05</f>
        <v>15689.981597125</v>
      </c>
      <c r="I11" s="16" t="n">
        <f aca="false">P55</f>
        <v>12025.94297</v>
      </c>
      <c r="J11" s="17" t="n">
        <f aca="false">I11/G11-1</f>
        <v>-0.195203637408103</v>
      </c>
      <c r="K11" s="18" t="n">
        <f aca="false">J11/0.05</f>
        <v>-3.90407274816206</v>
      </c>
      <c r="L11" s="19"/>
    </row>
    <row r="12" customFormat="false" ht="15.75" hidden="false" customHeight="false" outlineLevel="0" collapsed="false">
      <c r="D12" s="15" t="s">
        <v>23</v>
      </c>
      <c r="E12" s="15"/>
      <c r="F12" s="15"/>
      <c r="G12" s="23"/>
      <c r="H12" s="25" t="n">
        <v>1</v>
      </c>
      <c r="I12" s="25" t="n">
        <v>0.6</v>
      </c>
      <c r="J12" s="17" t="n">
        <f aca="false">I12</f>
        <v>0.6</v>
      </c>
      <c r="K12" s="18" t="n">
        <f aca="false">J12/H12</f>
        <v>0.6</v>
      </c>
      <c r="L12" s="19"/>
      <c r="N12" s="7" t="s">
        <v>24</v>
      </c>
      <c r="P12" s="7" t="s">
        <v>25</v>
      </c>
    </row>
    <row r="14" customFormat="false" ht="22.05" hidden="false" customHeight="false" outlineLevel="0" collapsed="false">
      <c r="B14" s="26" t="s">
        <v>26</v>
      </c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customFormat="false" ht="15.75" hidden="false" customHeight="false" outlineLevel="0" collapsed="false">
      <c r="B15" s="7"/>
      <c r="C15" s="27" t="s">
        <v>27</v>
      </c>
      <c r="D15" s="27" t="s">
        <v>28</v>
      </c>
      <c r="E15" s="27" t="s">
        <v>29</v>
      </c>
      <c r="F15" s="27" t="s">
        <v>30</v>
      </c>
      <c r="G15" s="27" t="s">
        <v>31</v>
      </c>
      <c r="H15" s="27" t="s">
        <v>32</v>
      </c>
      <c r="I15" s="27" t="s">
        <v>33</v>
      </c>
      <c r="J15" s="27" t="s">
        <v>34</v>
      </c>
      <c r="K15" s="27" t="s">
        <v>35</v>
      </c>
      <c r="L15" s="27" t="s">
        <v>36</v>
      </c>
      <c r="M15" s="27" t="s">
        <v>37</v>
      </c>
      <c r="N15" s="27" t="s">
        <v>38</v>
      </c>
      <c r="O15" s="27" t="s">
        <v>39</v>
      </c>
      <c r="P15" s="27" t="s">
        <v>40</v>
      </c>
      <c r="Q15" s="27" t="s">
        <v>41</v>
      </c>
    </row>
    <row r="16" customFormat="false" ht="15.75" hidden="false" customHeight="false" outlineLevel="0" collapsed="false">
      <c r="B16" s="11" t="s">
        <v>4</v>
      </c>
      <c r="C16" s="28" t="n">
        <v>1857198</v>
      </c>
      <c r="D16" s="28" t="n">
        <v>1890293</v>
      </c>
      <c r="E16" s="28" t="n">
        <v>1887780.01</v>
      </c>
      <c r="F16" s="28" t="n">
        <v>1968132.55</v>
      </c>
      <c r="G16" s="28"/>
      <c r="H16" s="28"/>
      <c r="I16" s="28"/>
      <c r="J16" s="28"/>
      <c r="K16" s="28"/>
      <c r="L16" s="28"/>
      <c r="M16" s="28"/>
      <c r="N16" s="28"/>
      <c r="O16" s="28" t="n">
        <f aca="false">IFERROR(LOOKUP(9^9,C16:N16),"")</f>
        <v>1968132.55</v>
      </c>
      <c r="P16" s="7" t="s">
        <v>42</v>
      </c>
      <c r="Q16" s="7" t="s">
        <v>42</v>
      </c>
    </row>
    <row r="17" customFormat="false" ht="15.75" hidden="false" customHeight="false" outlineLevel="0" collapsed="false">
      <c r="B17" s="29" t="s">
        <v>43</v>
      </c>
      <c r="C17" s="30" t="n">
        <f aca="true" t="array" ref="C17:C17">IF(C16&gt;0,C16-INDIRECT(B3&amp;"!N17"),"")</f>
        <v>134876</v>
      </c>
      <c r="D17" s="30" t="n">
        <f aca="false">IF(D16&gt;0,D16-C16,"")</f>
        <v>33095</v>
      </c>
      <c r="E17" s="30" t="n">
        <f aca="false">IF(E16&gt;0,E16-D16,"")</f>
        <v>-2512.98999999999</v>
      </c>
      <c r="F17" s="30" t="n">
        <f aca="false">IF(F16&gt;0,F16-E16,"")</f>
        <v>80352.54</v>
      </c>
      <c r="G17" s="29"/>
      <c r="H17" s="29"/>
      <c r="I17" s="29"/>
      <c r="J17" s="29"/>
      <c r="K17" s="29"/>
      <c r="L17" s="29"/>
      <c r="M17" s="29"/>
      <c r="N17" s="29"/>
      <c r="O17" s="31" t="n">
        <f aca="false">SUM(C17:N17)</f>
        <v>245810.55</v>
      </c>
      <c r="P17" s="31" t="n">
        <f aca="false">AVERAGE(C17:N17)</f>
        <v>61452.6375</v>
      </c>
      <c r="Q17" s="31" t="n">
        <f aca="false">MEDIAN(C17:N17)</f>
        <v>56723.77</v>
      </c>
    </row>
    <row r="18" customFormat="false" ht="15.75" hidden="false" customHeight="false" outlineLevel="0" collapsed="false">
      <c r="B18" s="29" t="s">
        <v>44</v>
      </c>
      <c r="C18" s="32" t="n">
        <f aca="true" t="array" ref="C18:C18">IF(C16&gt;0,(C16-INDIRECT(B3&amp;"!N17"))/INDIRECT(B3&amp;"!N17"),"")</f>
        <v>0.0783105598140185</v>
      </c>
      <c r="D18" s="32" t="n">
        <f aca="false">IF(D16&gt;0,(D16-C16)/C16,"")</f>
        <v>0.017819855502752</v>
      </c>
      <c r="E18" s="32" t="n">
        <f aca="false">IF(E16&gt;0,(E16-D16)/D16,"")</f>
        <v>-0.00132941824362678</v>
      </c>
      <c r="F18" s="32" t="n">
        <f aca="false">IF(F16&gt;0,(F16-E16)/E16,"")</f>
        <v>0.0425645676796843</v>
      </c>
      <c r="G18" s="32"/>
      <c r="H18" s="32"/>
      <c r="I18" s="32"/>
      <c r="J18" s="32"/>
      <c r="K18" s="32"/>
      <c r="L18" s="32"/>
      <c r="M18" s="32"/>
      <c r="N18" s="32"/>
      <c r="O18" s="32" t="s">
        <v>42</v>
      </c>
      <c r="P18" s="32" t="n">
        <f aca="false">AVERAGE(C18:N18)</f>
        <v>0.034341391188207</v>
      </c>
      <c r="Q18" s="32" t="n">
        <f aca="false">MEDIAN(C18:N18)</f>
        <v>0.0301922115912181</v>
      </c>
    </row>
    <row r="19" customFormat="false" ht="15.75" hidden="false" customHeight="false" outlineLevel="0" collapsed="false">
      <c r="B19" s="29" t="s">
        <v>45</v>
      </c>
      <c r="C19" s="32" t="n">
        <f aca="true" t="array" ref="C19:C19">IF(C16&gt;0,(C16-INDIRECT($B$3&amp;"!C17"))/INDIRECT($B$3&amp;"!C17"),"")</f>
        <v>0.503559765775706</v>
      </c>
      <c r="D19" s="32" t="n">
        <f aca="true">IF(D16&gt;0,(D16-INDIRECT($B$3&amp;"!D17"))/INDIRECT($B$3&amp;"!D17"),"")</f>
        <v>0.358553716721492</v>
      </c>
      <c r="E19" s="32" t="n">
        <f aca="true">IF(E16&gt;0,(E16-INDIRECT($B$3&amp;"!D17"))/INDIRECT($B$3&amp;"!D17"),"")</f>
        <v>0.356747630625535</v>
      </c>
      <c r="F19" s="32" t="n">
        <f aca="true">IF(F16&gt;0,(F16-INDIRECT($B$3&amp;"!D17"))/INDIRECT($B$3&amp;"!D17"),"")</f>
        <v>0.414497006973547</v>
      </c>
      <c r="G19" s="32"/>
      <c r="H19" s="32"/>
      <c r="I19" s="32"/>
      <c r="J19" s="32"/>
      <c r="K19" s="32"/>
      <c r="L19" s="32"/>
      <c r="M19" s="32"/>
      <c r="N19" s="32"/>
      <c r="O19" s="32" t="n">
        <f aca="true" t="array" ref="O19:O19">IF(O16&gt;0,(O16-INDIRECT($B$3&amp;"!O17"))/INDIRECT($B$3&amp;"!O17"),"")</f>
        <v>0.142720437873986</v>
      </c>
      <c r="P19" s="32" t="n">
        <f aca="false">AVERAGE(C19:N19)</f>
        <v>0.40833953002407</v>
      </c>
      <c r="Q19" s="32" t="n">
        <f aca="false">MEDIAN(C19:N19)</f>
        <v>0.386525361847519</v>
      </c>
    </row>
    <row r="20" customFormat="false" ht="15.75" hidden="false" customHeight="false" outlineLevel="0" collapsed="false">
      <c r="B20" s="11" t="s">
        <v>5</v>
      </c>
      <c r="C20" s="7" t="n">
        <v>59.7</v>
      </c>
      <c r="D20" s="7" t="n">
        <v>60.96</v>
      </c>
      <c r="E20" s="7" t="n">
        <v>60.62</v>
      </c>
      <c r="F20" s="7" t="n">
        <v>63.67</v>
      </c>
      <c r="J20" s="33"/>
      <c r="K20" s="33"/>
      <c r="L20" s="33"/>
      <c r="O20" s="34" t="n">
        <f aca="false">IFERROR(LOOKUP(9^9,C20:N20),"")</f>
        <v>63.67</v>
      </c>
      <c r="P20" s="34" t="n">
        <f aca="false">AVERAGE(C20:N20)</f>
        <v>61.2375</v>
      </c>
      <c r="Q20" s="34" t="n">
        <f aca="false">MEDIAN(C20:N20)</f>
        <v>60.79</v>
      </c>
    </row>
    <row r="21" customFormat="false" ht="15.75" hidden="false" customHeight="false" outlineLevel="0" collapsed="false">
      <c r="B21" s="29" t="s">
        <v>46</v>
      </c>
      <c r="C21" s="35" t="n">
        <f aca="true" t="array" ref="C21:C21">C20-INDIRECT(B3&amp;"!N21")</f>
        <v>26.12</v>
      </c>
      <c r="D21" s="35" t="n">
        <f aca="false">IF(D20&gt;0,D20-C20,"")</f>
        <v>1.26</v>
      </c>
      <c r="E21" s="35" t="n">
        <f aca="false">IF(E20&gt;0,E20-D20,"")</f>
        <v>-0.340000000000003</v>
      </c>
      <c r="F21" s="35" t="n">
        <f aca="false">IF(F20&gt;0,F20-E20,"")</f>
        <v>3.05</v>
      </c>
      <c r="G21" s="35"/>
      <c r="H21" s="35"/>
      <c r="I21" s="35"/>
      <c r="J21" s="35"/>
      <c r="K21" s="35"/>
      <c r="L21" s="35"/>
      <c r="M21" s="35"/>
      <c r="N21" s="35"/>
      <c r="O21" s="29" t="n">
        <f aca="false">SUM(C21:N21)</f>
        <v>30.09</v>
      </c>
      <c r="P21" s="29" t="n">
        <f aca="false">AVERAGE(C21:N21)</f>
        <v>7.5225</v>
      </c>
      <c r="Q21" s="29"/>
    </row>
    <row r="22" customFormat="false" ht="15.75" hidden="false" customHeight="false" outlineLevel="0" collapsed="false">
      <c r="B22" s="29" t="s">
        <v>44</v>
      </c>
      <c r="C22" s="36" t="n">
        <f aca="true" t="array" ref="C22:C22">(C20-INDIRECT(B3&amp;"!N21"))/INDIRECT(B3&amp;"!N21")</f>
        <v>0.777843954734962</v>
      </c>
      <c r="D22" s="36" t="n">
        <f aca="false">IF(D20&gt;0,(D20-C20)/C20,"")</f>
        <v>0.0211055276381909</v>
      </c>
      <c r="E22" s="36" t="n">
        <f aca="false">IF(E20&gt;0,(E20-D20)/D20,"")</f>
        <v>-0.00557742782152237</v>
      </c>
      <c r="F22" s="36" t="n">
        <f aca="false">IF(F20&gt;0,(F20-E20)/E20,"")</f>
        <v>0.0503134279115804</v>
      </c>
      <c r="G22" s="36"/>
      <c r="H22" s="36"/>
      <c r="I22" s="36"/>
      <c r="J22" s="36"/>
      <c r="K22" s="36"/>
      <c r="L22" s="36"/>
      <c r="M22" s="36"/>
      <c r="N22" s="36"/>
      <c r="O22" s="32" t="s">
        <v>42</v>
      </c>
      <c r="P22" s="32" t="n">
        <f aca="false">AVERAGE(C22:N22)</f>
        <v>0.210921370615803</v>
      </c>
      <c r="Q22" s="32" t="n">
        <f aca="false">MEDIAN(C22:N22)</f>
        <v>0.0357094777748857</v>
      </c>
    </row>
    <row r="23" customFormat="false" ht="15.75" hidden="false" customHeight="false" outlineLevel="0" collapsed="false">
      <c r="B23" s="29" t="s">
        <v>45</v>
      </c>
      <c r="C23" s="36" t="n">
        <f aca="true" t="array" ref="C23:C23">IF(C20&gt;0,(C20-INDIRECT($B$3&amp;"!C21"))/INDIRECT($B$3&amp;"!C21"),"")</f>
        <v>0.624489795918367</v>
      </c>
      <c r="D23" s="36" t="n">
        <f aca="true">IF(D20&gt;0,(D20-INDIRECT($B$3&amp;"!D21"))/INDIRECT($B$3&amp;"!D21"),"")</f>
        <v>1.10062026188835</v>
      </c>
      <c r="E23" s="36" t="n">
        <f aca="true">IF(E20&gt;0,(E20-INDIRECT($B$3&amp;"!D21"))/INDIRECT($B$3&amp;"!D21"),"")</f>
        <v>1.08890420399724</v>
      </c>
      <c r="F23" s="36" t="n">
        <f aca="true">IF(F20&gt;0,(F20-INDIRECT($B$3&amp;"!D21"))/INDIRECT($B$3&amp;"!D21"),"")</f>
        <v>1.19400413507926</v>
      </c>
      <c r="G23" s="36"/>
      <c r="H23" s="36"/>
      <c r="I23" s="36"/>
      <c r="J23" s="36"/>
      <c r="K23" s="36"/>
      <c r="L23" s="36"/>
      <c r="M23" s="36"/>
      <c r="N23" s="36"/>
      <c r="O23" s="36" t="n">
        <f aca="true" t="array" ref="O23:O23">IF(O20&gt;0,(O20-INDIRECT($B$3&amp;"!O21"))/INDIRECT($B$3&amp;"!O21"),"")</f>
        <v>0.8960690887433</v>
      </c>
      <c r="P23" s="32" t="n">
        <f aca="false">AVERAGE(C23:N23)</f>
        <v>1.0020045992208</v>
      </c>
      <c r="Q23" s="32" t="n">
        <f aca="false">MEDIAN(C23:N23)</f>
        <v>1.0947622329428</v>
      </c>
    </row>
    <row r="24" customFormat="false" ht="15.75" hidden="false" customHeight="false" outlineLevel="0" collapsed="false">
      <c r="B24" s="7" t="s">
        <v>1</v>
      </c>
      <c r="C24" s="7" t="n">
        <f aca="false">16697.54-5541.95-5269.35</f>
        <v>5886.24</v>
      </c>
      <c r="D24" s="7" t="n">
        <v>4305.66</v>
      </c>
      <c r="E24" s="7" t="n">
        <f aca="false">32140.03-23499.85</f>
        <v>8640.18</v>
      </c>
      <c r="F24" s="7" t="n">
        <v>7062.1</v>
      </c>
      <c r="K24" s="37"/>
      <c r="L24" s="33"/>
      <c r="O24" s="6" t="n">
        <f aca="false">SUM(C24:N24)</f>
        <v>25894.18</v>
      </c>
      <c r="P24" s="6" t="n">
        <f aca="false">AVERAGE(C24:N24)</f>
        <v>6473.545</v>
      </c>
      <c r="Q24" s="6" t="n">
        <f aca="false">MEDIAN(C24:N24)</f>
        <v>6474.17</v>
      </c>
    </row>
    <row r="25" customFormat="false" ht="15.75" hidden="false" customHeight="false" outlineLevel="0" collapsed="false">
      <c r="B25" s="29" t="s">
        <v>44</v>
      </c>
      <c r="C25" s="38" t="n">
        <f aca="true" t="array" ref="C25:C25">(C24-INDIRECT(B3&amp;"!N25"))/INDIRECT(B3&amp;"!N25")</f>
        <v>-0.167198641765705</v>
      </c>
      <c r="D25" s="38" t="n">
        <f aca="false">IF(D24&gt;0,(D24-C24)/C24,"")</f>
        <v>-0.268521161216668</v>
      </c>
      <c r="E25" s="38" t="n">
        <f aca="false">IF(E24&gt;0,(E24-D24)/D24,"")</f>
        <v>1.00670280514486</v>
      </c>
      <c r="F25" s="38" t="n">
        <f aca="false">IF(F24&gt;0,(F24-E24)/E24,"")</f>
        <v>-0.182644343057668</v>
      </c>
      <c r="G25" s="38"/>
      <c r="H25" s="38"/>
      <c r="I25" s="38"/>
      <c r="J25" s="38"/>
      <c r="K25" s="38"/>
      <c r="L25" s="38"/>
      <c r="M25" s="38"/>
      <c r="N25" s="38"/>
      <c r="O25" s="32" t="s">
        <v>42</v>
      </c>
      <c r="P25" s="38" t="n">
        <f aca="false">AVERAGE(C25:N25)</f>
        <v>0.0970846647762039</v>
      </c>
      <c r="Q25" s="38" t="n">
        <f aca="false">MEDIAN(C25:N25)</f>
        <v>-0.174921492411686</v>
      </c>
    </row>
    <row r="26" customFormat="false" ht="15.75" hidden="false" customHeight="false" outlineLevel="0" collapsed="false">
      <c r="B26" s="29" t="s">
        <v>45</v>
      </c>
      <c r="C26" s="38" t="n">
        <f aca="true" t="array" ref="C26:C26">IF(C24&gt;0,(C24-INDIRECT($B$3&amp;"!C25"))/INDIRECT($B$3&amp;"!C25"),"")</f>
        <v>0.390888468809074</v>
      </c>
      <c r="D26" s="38" t="n">
        <f aca="true">IF(D24&gt;0,(D24-INDIRECT($B$3&amp;"!D25"))/INDIRECT($B$3&amp;"!D25"),"")</f>
        <v>-0.277816169070782</v>
      </c>
      <c r="E26" s="38" t="n">
        <f aca="true">IF(E24&gt;0,(E24-INDIRECT($B$3&amp;"!D25"))/INDIRECT($B$3&amp;"!D25"),"")</f>
        <v>0.449208319355921</v>
      </c>
      <c r="F26" s="38" t="n">
        <f aca="true">IF(F24&gt;0,(F24-INDIRECT($B$3&amp;"!D25"))/INDIRECT($B$3&amp;"!D25"),"")</f>
        <v>0.184518617913452</v>
      </c>
      <c r="G26" s="38"/>
      <c r="H26" s="38"/>
      <c r="I26" s="38"/>
      <c r="J26" s="38"/>
      <c r="K26" s="38"/>
      <c r="L26" s="38"/>
      <c r="M26" s="38"/>
      <c r="N26" s="38"/>
      <c r="O26" s="38" t="n">
        <f aca="true" t="array" ref="O26:O26">IF(O24&gt;0,(O24-INDIRECT($B$3&amp;"!O25"))/INDIRECT($B$3&amp;"!O25"),"")</f>
        <v>-0.646192165207189</v>
      </c>
      <c r="P26" s="38" t="n">
        <f aca="false">AVERAGE(C26:N26)</f>
        <v>0.186699809251916</v>
      </c>
      <c r="Q26" s="38" t="n">
        <f aca="false">MEDIAN(C26:N26)</f>
        <v>0.287703543361263</v>
      </c>
    </row>
    <row r="27" customFormat="false" ht="15.75" hidden="false" customHeight="false" outlineLevel="0" collapsed="false">
      <c r="B27" s="7" t="s">
        <v>2</v>
      </c>
      <c r="C27" s="7" t="n">
        <v>16697</v>
      </c>
      <c r="D27" s="7" t="n">
        <v>4305.66</v>
      </c>
      <c r="E27" s="7" t="n">
        <v>32140.03</v>
      </c>
      <c r="F27" s="7" t="n">
        <v>7916.9</v>
      </c>
      <c r="K27" s="37"/>
      <c r="L27" s="33"/>
      <c r="O27" s="6" t="n">
        <f aca="false">SUM(C27:N27)</f>
        <v>61059.59</v>
      </c>
      <c r="P27" s="6" t="n">
        <f aca="false">AVERAGE(C27:N27)</f>
        <v>15264.8975</v>
      </c>
      <c r="Q27" s="6" t="n">
        <f aca="false">MEDIAN(C27:N27)</f>
        <v>12306.95</v>
      </c>
    </row>
    <row r="28" customFormat="false" ht="15.75" hidden="false" customHeight="false" outlineLevel="0" collapsed="false">
      <c r="B28" s="29" t="s">
        <v>44</v>
      </c>
      <c r="C28" s="38" t="n">
        <f aca="true" t="array" ref="C28:C28">(C27-INDIRECT(B3&amp;"!N28"))/INDIRECT(B3&amp;"!N28")</f>
        <v>0.126273187183811</v>
      </c>
      <c r="D28" s="38" t="n">
        <f aca="false">IF(D27&gt;0,(D27-C27)/C27,"")</f>
        <v>-0.742129723902497</v>
      </c>
      <c r="E28" s="38" t="n">
        <f aca="false">IF(E27&gt;0,(E27-D27)/D27,"")</f>
        <v>6.46460008453988</v>
      </c>
      <c r="F28" s="38" t="n">
        <f aca="false">IF(F27&gt;0,(F27-E27)/E27,"")</f>
        <v>-0.753674778772764</v>
      </c>
      <c r="G28" s="38"/>
      <c r="H28" s="38"/>
      <c r="I28" s="38"/>
      <c r="J28" s="38"/>
      <c r="K28" s="38"/>
      <c r="L28" s="38"/>
      <c r="M28" s="38"/>
      <c r="N28" s="38"/>
      <c r="O28" s="32" t="s">
        <v>42</v>
      </c>
      <c r="P28" s="38" t="n">
        <f aca="false">AVERAGE(C28:N28)</f>
        <v>1.27376719226211</v>
      </c>
      <c r="Q28" s="38" t="n">
        <f aca="false">MEDIAN(C28:N28)</f>
        <v>-0.307928268359343</v>
      </c>
    </row>
    <row r="29" customFormat="false" ht="15.75" hidden="false" customHeight="false" outlineLevel="0" collapsed="false">
      <c r="B29" s="29" t="s">
        <v>45</v>
      </c>
      <c r="C29" s="38" t="n">
        <f aca="true" t="array" ref="C29:C29">IF(C27&gt;0,(C27-INDIRECT($B$3&amp;"!C28"))/INDIRECT($B$3&amp;"!C28"),"")</f>
        <v>1.02852349197131</v>
      </c>
      <c r="D29" s="38" t="n">
        <f aca="true">IF(D27&gt;0,(D27-INDIRECT($B$3&amp;"!D28"))/INDIRECT($B$3&amp;"!D28"),"")</f>
        <v>-0.420113131313131</v>
      </c>
      <c r="E29" s="38" t="n">
        <f aca="true">IF(E27&gt;0,(E27-INDIRECT($B$3&amp;"!D28"))/INDIRECT($B$3&amp;"!D28"),"")</f>
        <v>3.32862356902357</v>
      </c>
      <c r="F29" s="38" t="n">
        <f aca="true">IF(F27&gt;0,(F27-INDIRECT($B$3&amp;"!D28"))/INDIRECT($B$3&amp;"!D28"),"")</f>
        <v>0.0662491582491582</v>
      </c>
      <c r="G29" s="38"/>
      <c r="H29" s="38"/>
      <c r="I29" s="38"/>
      <c r="J29" s="38"/>
      <c r="K29" s="38"/>
      <c r="L29" s="38"/>
      <c r="M29" s="38"/>
      <c r="N29" s="38"/>
      <c r="O29" s="38" t="n">
        <f aca="true" t="array" ref="O29:O29">IF(O27&gt;0,(O27-INDIRECT($B$3&amp;"!O28"))/INDIRECT($B$3&amp;"!O28"),"")</f>
        <v>-0.588673185245704</v>
      </c>
      <c r="P29" s="38" t="n">
        <f aca="false">AVERAGE(C29:N29)</f>
        <v>1.00082077198273</v>
      </c>
      <c r="Q29" s="38" t="n">
        <f aca="false">MEDIAN(C29:N29)</f>
        <v>0.547386325110236</v>
      </c>
    </row>
    <row r="30" customFormat="false" ht="15.75" hidden="false" customHeight="false" outlineLevel="0" collapsed="false">
      <c r="B30" s="7" t="s">
        <v>3</v>
      </c>
      <c r="C30" s="7" t="n">
        <v>16376</v>
      </c>
      <c r="D30" s="7" t="n">
        <v>29687.93</v>
      </c>
      <c r="E30" s="7" t="n">
        <v>58203.38</v>
      </c>
      <c r="F30" s="7" t="n">
        <v>16866.45</v>
      </c>
      <c r="K30" s="37"/>
      <c r="L30" s="33"/>
      <c r="O30" s="6" t="n">
        <f aca="false">SUM(C30:N30)</f>
        <v>121133.76</v>
      </c>
      <c r="P30" s="6" t="n">
        <f aca="false">AVERAGE(C30:N30)</f>
        <v>30283.44</v>
      </c>
      <c r="Q30" s="6" t="n">
        <f aca="false">MEDIAN(C30:N30)</f>
        <v>23277.19</v>
      </c>
    </row>
    <row r="31" customFormat="false" ht="15.75" hidden="false" customHeight="false" outlineLevel="0" collapsed="false">
      <c r="B31" s="29" t="s">
        <v>44</v>
      </c>
      <c r="C31" s="38" t="n">
        <f aca="true" t="array" ref="C31:C31">(C30-INDIRECT(B3&amp;"!N31"))/INDIRECT(B3&amp;"!N31")</f>
        <v>-0.263205255106632</v>
      </c>
      <c r="D31" s="38" t="n">
        <f aca="false">IF(D30&gt;0,(D30-C30)/C30,"")</f>
        <v>0.812892647777235</v>
      </c>
      <c r="E31" s="38" t="n">
        <f aca="false">IF(E30&gt;0,(E30-D30)/D30,"")</f>
        <v>0.960506508874145</v>
      </c>
      <c r="F31" s="38" t="n">
        <f aca="false">IF(F30&gt;0,(F30-E30)/E30,"")</f>
        <v>-0.710215283029955</v>
      </c>
      <c r="G31" s="38"/>
      <c r="H31" s="38"/>
      <c r="I31" s="38"/>
      <c r="J31" s="38"/>
      <c r="K31" s="38"/>
      <c r="L31" s="38"/>
      <c r="M31" s="38"/>
      <c r="N31" s="38"/>
      <c r="O31" s="32" t="s">
        <v>42</v>
      </c>
      <c r="P31" s="32" t="s">
        <v>42</v>
      </c>
      <c r="Q31" s="32" t="s">
        <v>42</v>
      </c>
    </row>
    <row r="32" customFormat="false" ht="15.75" hidden="false" customHeight="false" outlineLevel="0" collapsed="false">
      <c r="B32" s="29" t="s">
        <v>45</v>
      </c>
      <c r="C32" s="32" t="n">
        <f aca="true" t="array" ref="C32:C32">IF(C30&gt;0,(C30-INDIRECT($B$3&amp;"!C31"))/INDIRECT($B$3&amp;"!C31"),"")</f>
        <v>-0.0319481924399032</v>
      </c>
      <c r="D32" s="32" t="n">
        <f aca="true">IF(D30&gt;0,(D30-INDIRECT($B$3&amp;"!D31"))/INDIRECT($B$3&amp;"!D31"),"")</f>
        <v>-0.213106181085666</v>
      </c>
      <c r="E32" s="32" t="n">
        <f aca="true">IF(E30&gt;0,(E30-INDIRECT($B$3&amp;"!D31"))/INDIRECT($B$3&amp;"!D31"),"")</f>
        <v>0.542710453774385</v>
      </c>
      <c r="F32" s="32" t="n">
        <f aca="true">IF(F30&gt;0,(F30-INDIRECT($B$3&amp;"!D31"))/INDIRECT($B$3&amp;"!D31"),"")</f>
        <v>-0.55294608778626</v>
      </c>
      <c r="G32" s="32"/>
      <c r="H32" s="32"/>
      <c r="I32" s="32"/>
      <c r="J32" s="32"/>
      <c r="K32" s="32"/>
      <c r="L32" s="32"/>
      <c r="M32" s="32"/>
      <c r="N32" s="32"/>
      <c r="O32" s="32" t="n">
        <f aca="true" t="array" ref="O32:O32">IF(O30&gt;0,(O30-INDIRECT($B$3&amp;"!O31"))/INDIRECT($B$3&amp;"!O31"),"")</f>
        <v>-0.588206124432135</v>
      </c>
      <c r="P32" s="32" t="n">
        <f aca="true" t="array" ref="P32:P32">IF(P30&gt;0,(P30-INDIRECT(B3&amp;"!P31"))/INDIRECT(B3&amp;"!P31"),"")</f>
        <v>0.235381626703594</v>
      </c>
      <c r="Q32" s="32" t="n">
        <f aca="true" t="array" ref="Q32:Q32">IF(Q30&gt;0,(Q30-INDIRECT(B3&amp;"!Q31"))/INDIRECT(B3&amp;"!Q31"),"")</f>
        <v>0.164762190697791</v>
      </c>
    </row>
    <row r="33" customFormat="false" ht="15.75" hidden="false" customHeight="false" outlineLevel="0" collapsed="false">
      <c r="B33" s="7" t="s">
        <v>47</v>
      </c>
      <c r="C33" s="21" t="n">
        <f aca="false">IF(C27&gt;0,MAX(0,(C30-C27)/C30),"")</f>
        <v>0</v>
      </c>
      <c r="D33" s="21" t="n">
        <f aca="false">IF(D27&gt;0,MAX(0,(D30-D27)/D30),"")</f>
        <v>0.854969342759835</v>
      </c>
      <c r="E33" s="21" t="n">
        <f aca="false">IF(E27&gt;0,MAX(0,(E30-E27)/E30),"")</f>
        <v>0.447797877030509</v>
      </c>
      <c r="F33" s="21" t="n">
        <f aca="false">IF(F27&gt;0,MAX(0,(F30-F27)/F30),"")</f>
        <v>0.530612547394384</v>
      </c>
      <c r="G33" s="21"/>
      <c r="H33" s="21"/>
      <c r="I33" s="21"/>
      <c r="J33" s="21"/>
      <c r="K33" s="21"/>
      <c r="L33" s="21"/>
      <c r="M33" s="21"/>
      <c r="N33" s="21"/>
      <c r="O33" s="21" t="n">
        <f aca="false">IF(O27&gt;0,MAX(0,(O30-O27)/O30),"")</f>
        <v>0.495932513</v>
      </c>
      <c r="P33" s="21" t="n">
        <f aca="false">AVERAGE(C33:N33)</f>
        <v>0.4583449418</v>
      </c>
      <c r="Q33" s="21" t="n">
        <f aca="false">MEDIAN(C33:N33)</f>
        <v>0.4892052122</v>
      </c>
    </row>
    <row r="34" customFormat="false" ht="15.75" hidden="false" customHeight="false" outlineLevel="0" collapsed="false">
      <c r="B34" s="29" t="s">
        <v>44</v>
      </c>
      <c r="C34" s="38" t="n">
        <f aca="true" t="array" ref="C34:C34">(C33-INDIRECT(B3&amp;"!N34"))/INDIRECT(B3&amp;"!N34")</f>
        <v>-1</v>
      </c>
      <c r="D34" s="38" t="n">
        <f aca="false">IF(ISBLANK(D27),"",IF(C33=0,100,(D33-C33)/C33))</f>
        <v>100</v>
      </c>
      <c r="E34" s="38" t="n">
        <f aca="false">IF(ISBLANK(E27),"",IF(D33=0,100,(E33-D33)/D33))</f>
        <v>-0.476241012823898</v>
      </c>
      <c r="F34" s="38" t="n">
        <f aca="false">IF(ISBLANK(F27),"",IF(E33=0,100,(F33-E33)/E33))</f>
        <v>0.184937612730647</v>
      </c>
      <c r="G34" s="38"/>
      <c r="H34" s="38"/>
      <c r="I34" s="38"/>
      <c r="J34" s="38"/>
      <c r="K34" s="38"/>
      <c r="L34" s="38"/>
      <c r="M34" s="39"/>
      <c r="N34" s="38"/>
      <c r="O34" s="32" t="s">
        <v>42</v>
      </c>
      <c r="P34" s="32" t="s">
        <v>42</v>
      </c>
      <c r="Q34" s="32" t="s">
        <v>42</v>
      </c>
    </row>
    <row r="35" customFormat="false" ht="15.75" hidden="false" customHeight="false" outlineLevel="0" collapsed="false">
      <c r="B35" s="29" t="s">
        <v>45</v>
      </c>
      <c r="C35" s="38" t="n">
        <f aca="true" t="array" ref="C35:C35">IF(ISBLANK(C27),"",IF(INDIRECT($B$3&amp;"!C34")=0,100,(C33-INDIRECT($B$3&amp;"!C34"))/INDIRECT($B$3&amp;"!C34")))</f>
        <v>-1</v>
      </c>
      <c r="D35" s="38" t="n">
        <f aca="true">IF(ISBLANK(D27),"",IF(INDIRECT($B$3&amp;"!D34")=0,100,(D33-INDIRECT($B$3&amp;"!D34"))/INDIRECT($B$3&amp;"!D34")))</f>
        <v>0.0644584154586368</v>
      </c>
      <c r="E35" s="38" t="n">
        <f aca="true">IF(ISBLANK(E27),"",IF(INDIRECT($B$3&amp;"!D34")=0,100,(E33-INDIRECT($B$3&amp;"!D34"))/INDIRECT($B$3&amp;"!D34")))</f>
        <v>-0.442480338428306</v>
      </c>
      <c r="F35" s="38" t="n">
        <f aca="true">IF(ISBLANK(F27),"",IF(INDIRECT($B$3&amp;"!D34")=0,100,(F33-INDIRECT($B$3&amp;"!D34"))/INDIRECT($B$3&amp;"!D34")))</f>
        <v>-0.339373983166838</v>
      </c>
      <c r="G35" s="38"/>
      <c r="H35" s="38"/>
      <c r="I35" s="38"/>
      <c r="J35" s="38"/>
      <c r="K35" s="38"/>
      <c r="L35" s="38"/>
      <c r="M35" s="38"/>
      <c r="N35" s="38"/>
      <c r="O35" s="38" t="n">
        <f aca="true" t="array" ref="O35:O35">IF(ISBLANK(O27),"",IF(INDIRECT($B$3&amp;"!O34")=0,100,(O33-INDIRECT($B$3&amp;"!O34"))/INDIRECT($B$3&amp;"!O34")))</f>
        <v>0.00115545775036846</v>
      </c>
      <c r="P35" s="38" t="n">
        <f aca="true">IF(ISBLANK(P27),"",IF(INDIRECT($B$3&amp;"!Q34")=0,100,(P33-INDIRECT($B$3&amp;"!Q34"))/INDIRECT($B$3&amp;"!Q34")))</f>
        <v>-0.073682641839357</v>
      </c>
      <c r="Q35" s="38" t="n">
        <f aca="true">IF(ISBLANK(Q27),"",IF(INDIRECT($B$3&amp;"!Q34")=0,100,(Q33-INDIRECT($B$3&amp;"!Q34"))/INDIRECT($B$3&amp;"!Q34")))</f>
        <v>-0.0113138851628083</v>
      </c>
    </row>
    <row r="36" customFormat="false" ht="22.05" hidden="false" customHeight="false" outlineLevel="0" collapsed="false">
      <c r="B36" s="40" t="s">
        <v>48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</row>
    <row r="37" customFormat="false" ht="15.75" hidden="false" customHeight="false" outlineLevel="0" collapsed="false">
      <c r="B37" s="7"/>
      <c r="C37" s="27" t="s">
        <v>27</v>
      </c>
      <c r="D37" s="27" t="s">
        <v>28</v>
      </c>
      <c r="E37" s="27" t="s">
        <v>29</v>
      </c>
      <c r="F37" s="27" t="s">
        <v>30</v>
      </c>
      <c r="G37" s="27" t="s">
        <v>31</v>
      </c>
      <c r="H37" s="27" t="s">
        <v>32</v>
      </c>
      <c r="I37" s="27" t="s">
        <v>33</v>
      </c>
      <c r="J37" s="27" t="s">
        <v>34</v>
      </c>
      <c r="K37" s="27" t="s">
        <v>35</v>
      </c>
      <c r="L37" s="27" t="s">
        <v>36</v>
      </c>
      <c r="M37" s="27" t="s">
        <v>37</v>
      </c>
      <c r="N37" s="27" t="s">
        <v>38</v>
      </c>
      <c r="O37" s="27" t="s">
        <v>39</v>
      </c>
      <c r="P37" s="27" t="s">
        <v>40</v>
      </c>
      <c r="Q37" s="27" t="s">
        <v>41</v>
      </c>
    </row>
    <row r="38" customFormat="false" ht="15.75" hidden="false" customHeight="false" outlineLevel="0" collapsed="false">
      <c r="B38" s="7" t="s">
        <v>49</v>
      </c>
      <c r="C38" s="7" t="n">
        <v>75463</v>
      </c>
      <c r="D38" s="7" t="n">
        <v>76772</v>
      </c>
      <c r="E38" s="7" t="n">
        <v>78139</v>
      </c>
      <c r="F38" s="7" t="n">
        <v>79136</v>
      </c>
      <c r="G38" s="7"/>
      <c r="H38" s="7"/>
      <c r="I38" s="7"/>
      <c r="J38" s="7"/>
      <c r="O38" s="34" t="s">
        <v>42</v>
      </c>
      <c r="P38" s="34" t="s">
        <v>42</v>
      </c>
      <c r="Q38" s="34" t="s">
        <v>42</v>
      </c>
    </row>
    <row r="39" customFormat="false" ht="15.75" hidden="false" customHeight="false" outlineLevel="0" collapsed="false">
      <c r="B39" s="29" t="s">
        <v>50</v>
      </c>
      <c r="C39" s="39" t="n">
        <f aca="true" t="array" ref="C39:C39">C38-INDIRECT($B$3&amp;"!N40")</f>
        <v>1795</v>
      </c>
      <c r="D39" s="39" t="n">
        <f aca="false">D38-C38</f>
        <v>1309</v>
      </c>
      <c r="E39" s="39" t="n">
        <f aca="false">E38-D38</f>
        <v>1367</v>
      </c>
      <c r="F39" s="39" t="n">
        <f aca="false">F38-E38</f>
        <v>997</v>
      </c>
      <c r="G39" s="39"/>
      <c r="H39" s="39"/>
      <c r="I39" s="39"/>
      <c r="J39" s="39"/>
      <c r="K39" s="39"/>
      <c r="L39" s="39"/>
      <c r="M39" s="39"/>
      <c r="N39" s="39"/>
      <c r="O39" s="39" t="n">
        <f aca="false">SUM(C39:N39)</f>
        <v>5468</v>
      </c>
      <c r="P39" s="39" t="n">
        <f aca="false">AVERAGE(C39:N39)</f>
        <v>1367</v>
      </c>
      <c r="Q39" s="39" t="n">
        <f aca="false">MEDIAN(C39:N39)</f>
        <v>1338</v>
      </c>
    </row>
    <row r="40" customFormat="false" ht="15.75" hidden="false" customHeight="false" outlineLevel="0" collapsed="false">
      <c r="B40" s="29" t="s">
        <v>44</v>
      </c>
      <c r="C40" s="38" t="n">
        <f aca="true" t="array" ref="C40:C40">(C39-INDIRECT(B3&amp;"!N41"))/INDIRECT(B3&amp;"!N41")</f>
        <v>0.0678167757287329</v>
      </c>
      <c r="D40" s="38" t="n">
        <f aca="false">(D39-C39)/C39</f>
        <v>-0.27075208913649</v>
      </c>
      <c r="E40" s="38" t="n">
        <f aca="false">(E39-D39)/D39</f>
        <v>0.0443086325439267</v>
      </c>
      <c r="F40" s="38" t="n">
        <f aca="false">(F39-E39)/E39</f>
        <v>-0.270665691294806</v>
      </c>
      <c r="G40" s="38"/>
      <c r="H40" s="38"/>
      <c r="I40" s="38"/>
      <c r="J40" s="38"/>
      <c r="K40" s="38"/>
      <c r="L40" s="38"/>
      <c r="M40" s="38"/>
      <c r="N40" s="39"/>
      <c r="O40" s="32" t="s">
        <v>42</v>
      </c>
      <c r="P40" s="32" t="n">
        <f aca="false">AVERAGE(C40:N40)</f>
        <v>-0.107323093039659</v>
      </c>
      <c r="Q40" s="32" t="n">
        <f aca="false">MEDIAN(C40:N40)</f>
        <v>-0.11317852937544</v>
      </c>
    </row>
    <row r="41" customFormat="false" ht="15.75" hidden="false" customHeight="false" outlineLevel="0" collapsed="false">
      <c r="B41" s="29" t="s">
        <v>45</v>
      </c>
      <c r="C41" s="38" t="n">
        <f aca="true" t="array" ref="C41:C41">(C39-INDIRECT($B$3&amp;"!C41"))/INDIRECT($B$3&amp;"!C41")</f>
        <v>2.64837398373984</v>
      </c>
      <c r="D41" s="38" t="n">
        <f aca="true">(D39-INDIRECT($B$3&amp;"!D41"))/INDIRECT($B$3&amp;"!D41")</f>
        <v>1.46052631578947</v>
      </c>
      <c r="E41" s="38" t="n">
        <f aca="true">(E39-INDIRECT($B$3&amp;"!D41"))/INDIRECT($B$3&amp;"!D41")</f>
        <v>1.56954887218045</v>
      </c>
      <c r="F41" s="38" t="n">
        <f aca="true">(F39-INDIRECT($B$3&amp;"!D41"))/INDIRECT($B$3&amp;"!D41")</f>
        <v>0.87406015037594</v>
      </c>
      <c r="G41" s="38"/>
      <c r="H41" s="38"/>
      <c r="I41" s="38"/>
      <c r="J41" s="38"/>
      <c r="K41" s="38"/>
      <c r="L41" s="38"/>
      <c r="M41" s="38"/>
      <c r="N41" s="39"/>
      <c r="O41" s="38" t="n">
        <f aca="true" t="array" ref="O41:O41">(O39-INDIRECT($B$3&amp;"!O41"))/INDIRECT($B$3&amp;"!O41")</f>
        <v>-0.345839115662535</v>
      </c>
      <c r="P41" s="38" t="n">
        <f aca="true" t="array" ref="P41:P41">(P39-INDIRECT($B$3&amp;"!P41"))/INDIRECT($B$3&amp;"!P41")</f>
        <v>0.962482652918482</v>
      </c>
      <c r="Q41" s="38" t="n">
        <f aca="true" t="array" ref="Q41:Q41">(Q39-INDIRECT($B$3&amp;"!Q41"))/INDIRECT($B$3&amp;"!Q41")</f>
        <v>1.88185058746244</v>
      </c>
    </row>
    <row r="42" customFormat="false" ht="15.75" hidden="false" customHeight="false" outlineLevel="0" collapsed="false">
      <c r="B42" s="7" t="s">
        <v>51</v>
      </c>
      <c r="C42" s="7" t="n">
        <v>1256.624</v>
      </c>
      <c r="D42" s="7" t="n">
        <v>1265.699</v>
      </c>
      <c r="E42" s="7" t="n">
        <v>1276.25</v>
      </c>
      <c r="F42" s="7" t="n">
        <v>1286.277</v>
      </c>
      <c r="O42" s="34" t="s">
        <v>42</v>
      </c>
      <c r="P42" s="34" t="s">
        <v>42</v>
      </c>
      <c r="Q42" s="34" t="s">
        <v>42</v>
      </c>
    </row>
    <row r="43" customFormat="false" ht="15.75" hidden="false" customHeight="false" outlineLevel="0" collapsed="false">
      <c r="B43" s="29" t="s">
        <v>52</v>
      </c>
      <c r="C43" s="29" t="n">
        <f aca="false">C42-'2025'!N49</f>
        <v>16.206</v>
      </c>
      <c r="D43" s="39" t="n">
        <f aca="false">D42-C42</f>
        <v>9.07500000000005</v>
      </c>
      <c r="E43" s="39" t="n">
        <f aca="false">E42-D42</f>
        <v>10.5509999999999</v>
      </c>
      <c r="F43" s="39" t="n">
        <f aca="false">F42-E42</f>
        <v>10.027</v>
      </c>
      <c r="G43" s="39"/>
      <c r="H43" s="39"/>
      <c r="I43" s="39"/>
      <c r="J43" s="39"/>
      <c r="K43" s="39"/>
      <c r="L43" s="39"/>
      <c r="M43" s="39"/>
      <c r="N43" s="39"/>
      <c r="O43" s="39" t="n">
        <f aca="false">SUM(C43:N43)</f>
        <v>45.859</v>
      </c>
      <c r="P43" s="39" t="n">
        <f aca="false">AVERAGE(C43:N43)</f>
        <v>11.46475</v>
      </c>
      <c r="Q43" s="39" t="n">
        <f aca="false">MEDIAN(C43:N43)</f>
        <v>10.289</v>
      </c>
    </row>
    <row r="44" customFormat="false" ht="15.75" hidden="false" customHeight="false" outlineLevel="0" collapsed="false">
      <c r="B44" s="29" t="s">
        <v>44</v>
      </c>
      <c r="C44" s="32" t="n">
        <f aca="true" t="array" ref="C44:C44">(C43-INDIRECT(B3&amp;"!N50"))/INDIRECT(B3&amp;"!N50")</f>
        <v>0.684090200561187</v>
      </c>
      <c r="D44" s="32" t="n">
        <f aca="false">(D43-C43)/C43</f>
        <v>-0.440022213994814</v>
      </c>
      <c r="E44" s="32" t="n">
        <f aca="false">(E43-D43)/D43</f>
        <v>0.16264462809916</v>
      </c>
      <c r="F44" s="32" t="n">
        <f aca="false">(F43-E43)/E43</f>
        <v>-0.0496635390010322</v>
      </c>
      <c r="G44" s="32"/>
      <c r="H44" s="32"/>
      <c r="I44" s="32"/>
      <c r="J44" s="32"/>
      <c r="K44" s="32"/>
      <c r="L44" s="32"/>
      <c r="M44" s="32"/>
      <c r="N44" s="39"/>
      <c r="O44" s="32" t="s">
        <v>42</v>
      </c>
      <c r="P44" s="32" t="n">
        <f aca="false">AVERAGE(C44:N44)</f>
        <v>0.0892622689161253</v>
      </c>
      <c r="Q44" s="32" t="n">
        <f aca="false">MEDIAN(C44:N44)</f>
        <v>0.056490544549064</v>
      </c>
    </row>
    <row r="45" customFormat="false" ht="15.75" hidden="false" customHeight="false" outlineLevel="0" collapsed="false">
      <c r="B45" s="29" t="s">
        <v>45</v>
      </c>
      <c r="C45" s="36" t="n">
        <f aca="true" t="array" ref="C45:C45">(C43-INDIRECT($B$3&amp;"!C50"))/INDIRECT($B$3&amp;"!C50")</f>
        <v>0.988466257668712</v>
      </c>
      <c r="D45" s="36" t="n">
        <f aca="true">(D43-INDIRECT($B$3&amp;"!D50"))/INDIRECT($B$3&amp;"!D50")</f>
        <v>0.950773860705065</v>
      </c>
      <c r="E45" s="36" t="n">
        <f aca="true">(E43-INDIRECT($B$3&amp;"!D50"))/INDIRECT($B$3&amp;"!D50")</f>
        <v>1.268056749785</v>
      </c>
      <c r="F45" s="36" t="n">
        <f aca="true">(F43-INDIRECT($B$3&amp;"!D50"))/INDIRECT($B$3&amp;"!D50")</f>
        <v>1.1554170249355</v>
      </c>
      <c r="G45" s="36"/>
      <c r="H45" s="36"/>
      <c r="I45" s="36"/>
      <c r="J45" s="36"/>
      <c r="K45" s="36"/>
      <c r="L45" s="36"/>
      <c r="M45" s="36"/>
      <c r="N45" s="39"/>
      <c r="O45" s="29" t="s">
        <v>53</v>
      </c>
      <c r="P45" s="29" t="s">
        <v>53</v>
      </c>
      <c r="Q45" s="29" t="s">
        <v>53</v>
      </c>
    </row>
    <row r="46" customFormat="false" ht="22.05" hidden="false" customHeight="false" outlineLevel="0" collapsed="false">
      <c r="B46" s="41" t="s">
        <v>54</v>
      </c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</row>
    <row r="47" customFormat="false" ht="15.75" hidden="false" customHeight="false" outlineLevel="0" collapsed="false">
      <c r="C47" s="27" t="s">
        <v>27</v>
      </c>
      <c r="D47" s="27" t="s">
        <v>28</v>
      </c>
      <c r="E47" s="27" t="s">
        <v>29</v>
      </c>
      <c r="F47" s="27" t="s">
        <v>30</v>
      </c>
      <c r="G47" s="27" t="s">
        <v>31</v>
      </c>
      <c r="H47" s="27" t="s">
        <v>32</v>
      </c>
      <c r="I47" s="27" t="s">
        <v>33</v>
      </c>
      <c r="J47" s="27" t="s">
        <v>34</v>
      </c>
      <c r="K47" s="27" t="s">
        <v>35</v>
      </c>
      <c r="L47" s="27" t="s">
        <v>36</v>
      </c>
      <c r="M47" s="27" t="s">
        <v>37</v>
      </c>
      <c r="N47" s="27" t="s">
        <v>38</v>
      </c>
      <c r="O47" s="27" t="s">
        <v>39</v>
      </c>
      <c r="P47" s="27" t="s">
        <v>40</v>
      </c>
      <c r="Q47" s="27" t="s">
        <v>41</v>
      </c>
    </row>
    <row r="48" customFormat="false" ht="15.75" hidden="false" customHeight="false" outlineLevel="0" collapsed="false">
      <c r="B48" s="7" t="s">
        <v>55</v>
      </c>
      <c r="C48" s="7" t="n">
        <v>18</v>
      </c>
      <c r="D48" s="7" t="n">
        <v>10</v>
      </c>
      <c r="E48" s="7" t="n">
        <v>15</v>
      </c>
      <c r="F48" s="7" t="n">
        <v>11</v>
      </c>
      <c r="O48" s="6" t="n">
        <f aca="false">SUM(C48:N48)</f>
        <v>54</v>
      </c>
      <c r="P48" s="42" t="n">
        <f aca="false">AVERAGE(C48:N48)</f>
        <v>13.5</v>
      </c>
      <c r="Q48" s="6" t="n">
        <f aca="false">MEDIAN(C48:N48)</f>
        <v>13</v>
      </c>
    </row>
    <row r="49" customFormat="false" ht="15.75" hidden="false" customHeight="false" outlineLevel="0" collapsed="false">
      <c r="B49" s="11" t="s">
        <v>56</v>
      </c>
      <c r="C49" s="34" t="n">
        <f aca="false">C48*5</f>
        <v>90</v>
      </c>
      <c r="D49" s="34" t="n">
        <f aca="false">D48*5</f>
        <v>50</v>
      </c>
      <c r="E49" s="34" t="n">
        <f aca="false">E48*5</f>
        <v>75</v>
      </c>
      <c r="F49" s="34" t="n">
        <f aca="false">F48*5</f>
        <v>55</v>
      </c>
      <c r="G49" s="34"/>
      <c r="H49" s="34"/>
      <c r="I49" s="34"/>
      <c r="J49" s="34"/>
      <c r="K49" s="34"/>
      <c r="L49" s="34"/>
      <c r="M49" s="34"/>
      <c r="N49" s="21"/>
      <c r="O49" s="43" t="n">
        <f aca="false">SUM(C49:N49)</f>
        <v>270</v>
      </c>
      <c r="P49" s="42" t="n">
        <f aca="false">AVERAGE(C49:N49)</f>
        <v>67.5</v>
      </c>
      <c r="Q49" s="6" t="n">
        <f aca="false">MEDIAN(C49:N49)</f>
        <v>65</v>
      </c>
    </row>
    <row r="50" customFormat="false" ht="15.75" hidden="false" customHeight="false" outlineLevel="0" collapsed="false">
      <c r="B50" s="29" t="s">
        <v>44</v>
      </c>
      <c r="C50" s="32" t="n">
        <f aca="true" t="array" ref="C50:C50">(C49-INDIRECT(B3&amp;"!N56"))/INDIRECT(B3&amp;"!N56")</f>
        <v>0.0588235294117647</v>
      </c>
      <c r="D50" s="32" t="n">
        <f aca="false">(D49-C49)/C49</f>
        <v>-0.444444444444444</v>
      </c>
      <c r="E50" s="32" t="n">
        <f aca="false">(E49-D49)/D49</f>
        <v>0.5</v>
      </c>
      <c r="F50" s="32" t="n">
        <f aca="false">(F49-E49)/E49</f>
        <v>-0.266666666666667</v>
      </c>
      <c r="G50" s="32"/>
      <c r="H50" s="32"/>
      <c r="I50" s="32"/>
      <c r="J50" s="32"/>
      <c r="K50" s="32"/>
      <c r="L50" s="32"/>
      <c r="M50" s="38"/>
      <c r="N50" s="38" t="str">
        <f aca="false">IF(N48&gt;0,(N48-M48)/M48,"")</f>
        <v/>
      </c>
      <c r="O50" s="29" t="s">
        <v>42</v>
      </c>
      <c r="P50" s="32" t="n">
        <f aca="false">AVERAGE(C50:N50)</f>
        <v>-0.0380718954248366</v>
      </c>
      <c r="Q50" s="32" t="n">
        <f aca="false">MEDIAN(C50:N50)</f>
        <v>-0.103921568627451</v>
      </c>
    </row>
    <row r="51" customFormat="false" ht="15.75" hidden="false" customHeight="false" outlineLevel="0" collapsed="false">
      <c r="B51" s="29" t="s">
        <v>45</v>
      </c>
      <c r="C51" s="32" t="n">
        <f aca="true" t="array" ref="C51:C51">(C49-INDIRECT($B$3&amp;"!C56"))/INDIRECT($B$3&amp;"!C56")</f>
        <v>1.5</v>
      </c>
      <c r="D51" s="32" t="n">
        <f aca="true">(D49-INDIRECT($B$3&amp;"!D56"))/INDIRECT($B$3&amp;"!D56")</f>
        <v>0.5625</v>
      </c>
      <c r="E51" s="32" t="n">
        <f aca="true">(E49-INDIRECT($B$3&amp;"!D56"))/INDIRECT($B$3&amp;"!D56")</f>
        <v>1.34375</v>
      </c>
      <c r="F51" s="32" t="n">
        <f aca="true">(F49-INDIRECT($B$3&amp;"!D56"))/INDIRECT($B$3&amp;"!D56")</f>
        <v>0.71875</v>
      </c>
      <c r="G51" s="32"/>
      <c r="H51" s="32"/>
      <c r="I51" s="32"/>
      <c r="J51" s="32"/>
      <c r="K51" s="32"/>
      <c r="L51" s="32"/>
      <c r="M51" s="32"/>
      <c r="N51" s="32"/>
      <c r="O51" s="29" t="s">
        <v>53</v>
      </c>
      <c r="P51" s="29" t="s">
        <v>53</v>
      </c>
      <c r="Q51" s="29" t="s">
        <v>53</v>
      </c>
    </row>
    <row r="52" customFormat="false" ht="15.75" hidden="false" customHeight="false" outlineLevel="0" collapsed="false">
      <c r="B52" s="7" t="s">
        <v>57</v>
      </c>
      <c r="C52" s="7" t="n">
        <v>153351</v>
      </c>
      <c r="D52" s="6" t="n">
        <f aca="false">4841*28</f>
        <v>135548</v>
      </c>
      <c r="E52" s="7" t="n">
        <v>175378</v>
      </c>
      <c r="F52" s="6" t="n">
        <f aca="false">5653*30</f>
        <v>169590</v>
      </c>
      <c r="O52" s="6" t="n">
        <f aca="false">SUM(C52:N52)</f>
        <v>633867</v>
      </c>
      <c r="P52" s="6" t="n">
        <f aca="false">AVERAGE(C52:N52)</f>
        <v>158466.75</v>
      </c>
      <c r="Q52" s="6" t="n">
        <f aca="false">MEDIAN(C52:N52)</f>
        <v>161470.5</v>
      </c>
    </row>
    <row r="53" customFormat="false" ht="15.75" hidden="false" customHeight="false" outlineLevel="0" collapsed="false">
      <c r="B53" s="7" t="s">
        <v>58</v>
      </c>
      <c r="C53" s="7" t="n">
        <f aca="false">191139+3055</f>
        <v>194194</v>
      </c>
      <c r="D53" s="7" t="n">
        <f aca="false">141420+6000</f>
        <v>147420</v>
      </c>
      <c r="E53" s="7" t="n">
        <v>209257</v>
      </c>
      <c r="F53" s="7" t="n">
        <f aca="false">190801+5000</f>
        <v>195801</v>
      </c>
      <c r="O53" s="6" t="n">
        <f aca="false">SUM(C53:N53)</f>
        <v>746672</v>
      </c>
      <c r="P53" s="6" t="n">
        <f aca="false">AVERAGE(C53:N53)</f>
        <v>186668</v>
      </c>
      <c r="Q53" s="6" t="n">
        <f aca="false">MEDIAN(C53:N53)</f>
        <v>194997.5</v>
      </c>
    </row>
    <row r="54" customFormat="false" ht="15.75" hidden="false" customHeight="false" outlineLevel="0" collapsed="false">
      <c r="B54" s="29" t="s">
        <v>59</v>
      </c>
      <c r="C54" s="44" t="n">
        <f aca="false">SUM(C52:C53)</f>
        <v>347545</v>
      </c>
      <c r="D54" s="44" t="n">
        <f aca="false">SUM(D52:D53)</f>
        <v>282968</v>
      </c>
      <c r="E54" s="44" t="n">
        <f aca="false">SUM(E52:E53)</f>
        <v>384635</v>
      </c>
      <c r="F54" s="44" t="n">
        <f aca="false">SUM(F52:F53)</f>
        <v>365391</v>
      </c>
      <c r="G54" s="44"/>
      <c r="H54" s="44"/>
      <c r="I54" s="44"/>
      <c r="J54" s="44"/>
      <c r="K54" s="44"/>
      <c r="L54" s="44"/>
      <c r="M54" s="44"/>
      <c r="N54" s="44"/>
      <c r="O54" s="44" t="n">
        <f aca="false">SUM(C54:N54)</f>
        <v>1380539</v>
      </c>
      <c r="P54" s="44" t="n">
        <f aca="false">AVERAGE(C54:N54)</f>
        <v>345134.75</v>
      </c>
      <c r="Q54" s="44" t="n">
        <f aca="false">MEDIAN(C54:N54)</f>
        <v>356468</v>
      </c>
    </row>
    <row r="55" customFormat="false" ht="16.5" hidden="false" customHeight="true" outlineLevel="0" collapsed="false">
      <c r="B55" s="29" t="s">
        <v>60</v>
      </c>
      <c r="C55" s="45" t="n">
        <f aca="false">C54/31</f>
        <v>11211.12903</v>
      </c>
      <c r="D55" s="45" t="n">
        <f aca="false">D54/28</f>
        <v>10106</v>
      </c>
      <c r="E55" s="45" t="n">
        <f aca="false">E54/28</f>
        <v>13736.9642857143</v>
      </c>
      <c r="F55" s="45" t="n">
        <f aca="false">F54/28</f>
        <v>13049.6785714286</v>
      </c>
      <c r="G55" s="45"/>
      <c r="H55" s="45"/>
      <c r="I55" s="45"/>
      <c r="J55" s="45"/>
      <c r="K55" s="45"/>
      <c r="L55" s="45"/>
      <c r="M55" s="45"/>
      <c r="N55" s="38"/>
      <c r="O55" s="29" t="s">
        <v>42</v>
      </c>
      <c r="P55" s="46" t="n">
        <f aca="false">AVERAGE(C55:N55)</f>
        <v>12025.9429717857</v>
      </c>
      <c r="Q55" s="46" t="n">
        <f aca="false">MEDIAN(C55:N55)</f>
        <v>12130.4038007143</v>
      </c>
    </row>
    <row r="56" customFormat="false" ht="16.5" hidden="false" customHeight="true" outlineLevel="0" collapsed="false">
      <c r="B56" s="29" t="s">
        <v>44</v>
      </c>
      <c r="C56" s="32" t="n">
        <f aca="true" t="array" ref="C56:C56">(C54-INDIRECT(B3&amp;"!N61"))/INDIRECT(B3&amp;"!N61")</f>
        <v>0.0315111833982335</v>
      </c>
      <c r="D56" s="38" t="n">
        <f aca="false">(D54-C54)/C54</f>
        <v>-0.185809031923924</v>
      </c>
      <c r="E56" s="38" t="n">
        <f aca="false">(E54-D54)/D54</f>
        <v>0.359287976025558</v>
      </c>
      <c r="F56" s="38" t="n">
        <f aca="false">(F54-E54)/E54</f>
        <v>-0.0500318483757328</v>
      </c>
      <c r="G56" s="38"/>
      <c r="H56" s="38"/>
      <c r="I56" s="38"/>
      <c r="J56" s="38"/>
      <c r="K56" s="38"/>
      <c r="L56" s="38"/>
      <c r="M56" s="38"/>
      <c r="N56" s="38"/>
      <c r="O56" s="29" t="s">
        <v>42</v>
      </c>
      <c r="P56" s="32" t="n">
        <f aca="false">AVERAGE(C56:N56)</f>
        <v>0.0387395697810337</v>
      </c>
      <c r="Q56" s="32" t="n">
        <f aca="false">MEDIAN(C56:N56)</f>
        <v>-0.00926033248874969</v>
      </c>
    </row>
    <row r="57" customFormat="false" ht="15.75" hidden="false" customHeight="false" outlineLevel="0" collapsed="false">
      <c r="B57" s="29" t="s">
        <v>45</v>
      </c>
      <c r="C57" s="32" t="n">
        <f aca="true" t="array" ref="C57:C57">(C54-INDIRECT($B$3&amp;"!C61"))/INDIRECT($B$3&amp;"!C61")</f>
        <v>0.156194069076562</v>
      </c>
      <c r="D57" s="32" t="n">
        <f aca="true">(D54-INDIRECT($B$3&amp;"!D61"))/INDIRECT($B$3&amp;"!D61")</f>
        <v>-0.0847850133578281</v>
      </c>
      <c r="E57" s="32" t="n">
        <f aca="true">(E54-INDIRECT($B$3&amp;"!D61"))/INDIRECT($B$3&amp;"!D61")</f>
        <v>0.244040726821096</v>
      </c>
      <c r="F57" s="32" t="n">
        <f aca="true">(F54-INDIRECT($B$3&amp;"!D61"))/INDIRECT($B$3&amp;"!D61")</f>
        <v>0.181799069803546</v>
      </c>
      <c r="G57" s="32"/>
      <c r="H57" s="32"/>
      <c r="I57" s="32"/>
      <c r="J57" s="32"/>
      <c r="K57" s="32"/>
      <c r="L57" s="32"/>
      <c r="M57" s="32"/>
      <c r="N57" s="32"/>
      <c r="O57" s="29" t="s">
        <v>53</v>
      </c>
      <c r="P57" s="29" t="s">
        <v>53</v>
      </c>
      <c r="Q57" s="29" t="s">
        <v>53</v>
      </c>
    </row>
    <row r="58" customFormat="false" ht="15.75" hidden="false" customHeight="false" outlineLevel="0" collapsed="false">
      <c r="B58" s="7" t="s">
        <v>61</v>
      </c>
      <c r="C58" s="7" t="n">
        <v>9</v>
      </c>
      <c r="D58" s="7" t="n">
        <v>6</v>
      </c>
      <c r="E58" s="7" t="n">
        <v>7</v>
      </c>
      <c r="F58" s="7" t="n">
        <v>9</v>
      </c>
      <c r="O58" s="6" t="n">
        <f aca="false">SUM(C58:N58)</f>
        <v>31</v>
      </c>
      <c r="P58" s="6" t="n">
        <f aca="false">AVERAGE(C58:N58)</f>
        <v>7.75</v>
      </c>
      <c r="Q58" s="6" t="n">
        <f aca="false">MEDIAN(C58:N58)</f>
        <v>8</v>
      </c>
    </row>
    <row r="59" customFormat="false" ht="15.75" hidden="false" customHeight="false" outlineLevel="0" collapsed="false">
      <c r="B59" s="29" t="s">
        <v>44</v>
      </c>
      <c r="C59" s="38" t="n">
        <f aca="true" t="array" ref="C59:C59">(C58-INDIRECT(B3&amp;"!N71"))/INDIRECT(B3&amp;"!N71")</f>
        <v>0.285714285714286</v>
      </c>
      <c r="D59" s="38" t="n">
        <f aca="false">(D58-C58)/C58</f>
        <v>-0.333333333333333</v>
      </c>
      <c r="E59" s="38" t="n">
        <f aca="false">(E58-D58)/D58</f>
        <v>0.166666666666667</v>
      </c>
      <c r="F59" s="38" t="n">
        <f aca="false">(F58-E58)/E58</f>
        <v>0.285714285714286</v>
      </c>
      <c r="G59" s="38"/>
      <c r="H59" s="38"/>
      <c r="I59" s="38"/>
      <c r="J59" s="38"/>
      <c r="K59" s="38"/>
      <c r="L59" s="38"/>
      <c r="M59" s="38"/>
      <c r="N59" s="38"/>
      <c r="O59" s="29" t="s">
        <v>42</v>
      </c>
      <c r="P59" s="32" t="n">
        <f aca="false">AVERAGE(C59:N59)</f>
        <v>0.101190476190476</v>
      </c>
      <c r="Q59" s="32" t="n">
        <f aca="false">MEDIAN(C59:N59)</f>
        <v>0.226190476190476</v>
      </c>
    </row>
    <row r="60" customFormat="false" ht="15.75" hidden="false" customHeight="false" outlineLevel="0" collapsed="false">
      <c r="B60" s="29" t="s">
        <v>45</v>
      </c>
      <c r="C60" s="38" t="n">
        <f aca="true" t="array" ref="C60:C60">(C58-INDIRECT($B$3&amp;"!C71"))/INDIRECT($B$3&amp;"!C71")</f>
        <v>0.8</v>
      </c>
      <c r="D60" s="38" t="n">
        <f aca="true">(D58-INDIRECT($B$3&amp;"!D71"))/INDIRECT($B$3&amp;"!D71")</f>
        <v>-0.142857142857143</v>
      </c>
      <c r="E60" s="38" t="n">
        <f aca="true">(E58-INDIRECT($B$3&amp;"!D71"))/INDIRECT($B$3&amp;"!D71")</f>
        <v>0</v>
      </c>
      <c r="F60" s="38" t="n">
        <f aca="true">(F58-INDIRECT($B$3&amp;"!D71"))/INDIRECT($B$3&amp;"!D71")</f>
        <v>0.285714285714286</v>
      </c>
      <c r="G60" s="38"/>
      <c r="H60" s="38"/>
      <c r="I60" s="38"/>
      <c r="J60" s="38"/>
      <c r="K60" s="38"/>
      <c r="L60" s="38"/>
      <c r="M60" s="38"/>
      <c r="N60" s="38"/>
      <c r="O60" s="38" t="n">
        <f aca="true" t="array" ref="O60:O60">(O58-INDIRECT($B$3&amp;"!O71"))/INDIRECT($B$3&amp;"!O71")</f>
        <v>-0.659340659340659</v>
      </c>
      <c r="P60" s="38" t="n">
        <f aca="true" t="array" ref="P60:P60">(P58-INDIRECT($B$3&amp;"!P71"))/INDIRECT($B$3&amp;"!P71")</f>
        <v>0.0219780220229441</v>
      </c>
      <c r="Q60" s="38" t="n">
        <f aca="true" t="array" ref="Q60:Q60">(Q58-INDIRECT($B$3&amp;"!Q71"))/INDIRECT($B$3&amp;"!Q71")</f>
        <v>0.142857142857143</v>
      </c>
    </row>
    <row r="65" customFormat="false" ht="15.75" hidden="false" customHeight="false" outlineLevel="0" collapsed="false">
      <c r="C65" s="37"/>
    </row>
    <row r="67" customFormat="false" ht="15.75" hidden="false" customHeight="false" outlineLevel="0" collapsed="false">
      <c r="B67" s="7" t="s">
        <v>62</v>
      </c>
      <c r="C67" s="7" t="n">
        <v>2</v>
      </c>
    </row>
    <row r="68" customFormat="false" ht="15.75" hidden="false" customHeight="false" outlineLevel="0" collapsed="false">
      <c r="B68" s="7" t="s">
        <v>63</v>
      </c>
    </row>
    <row r="69" customFormat="false" ht="15.75" hidden="false" customHeight="false" outlineLevel="0" collapsed="false">
      <c r="B69" s="47" t="s">
        <v>64</v>
      </c>
      <c r="D69" s="7" t="s">
        <v>65</v>
      </c>
    </row>
    <row r="70" customFormat="false" ht="15.75" hidden="false" customHeight="false" outlineLevel="0" collapsed="false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34"/>
      <c r="P70" s="7"/>
      <c r="Q70" s="7"/>
    </row>
  </sheetData>
  <mergeCells count="15">
    <mergeCell ref="D2:F2"/>
    <mergeCell ref="D3:H3"/>
    <mergeCell ref="J3:K3"/>
    <mergeCell ref="D4:F4"/>
    <mergeCell ref="D5:F5"/>
    <mergeCell ref="D6:F6"/>
    <mergeCell ref="D7:F7"/>
    <mergeCell ref="D8:K8"/>
    <mergeCell ref="D9:F9"/>
    <mergeCell ref="D10:F10"/>
    <mergeCell ref="D11:F11"/>
    <mergeCell ref="D12:F12"/>
    <mergeCell ref="B14:Q14"/>
    <mergeCell ref="B36:Q36"/>
    <mergeCell ref="B46:Q46"/>
  </mergeCells>
  <conditionalFormatting sqref="M3:M12 K4:K7 K9:K12">
    <cfRule type="cellIs" priority="2" operator="lessThan" aboveAverage="0" equalAverage="0" bottom="0" percent="0" rank="0" text="" dxfId="0">
      <formula>0.35</formula>
    </cfRule>
  </conditionalFormatting>
  <conditionalFormatting sqref="M3:M12 K4:K7 K9:K12">
    <cfRule type="cellIs" priority="3" operator="between" aboveAverage="0" equalAverage="0" bottom="0" percent="0" rank="0" text="" dxfId="1">
      <formula>0.36</formula>
      <formula>0.6</formula>
    </cfRule>
  </conditionalFormatting>
  <conditionalFormatting sqref="M3:M12 K4:K7 K9:K12">
    <cfRule type="cellIs" priority="4" operator="between" aboveAverage="0" equalAverage="0" bottom="0" percent="0" rank="0" text="" dxfId="2">
      <formula>0.6</formula>
      <formula>0.85</formula>
    </cfRule>
  </conditionalFormatting>
  <conditionalFormatting sqref="M3:M12 K4:K7 K9:K12">
    <cfRule type="cellIs" priority="5" operator="between" aboveAverage="0" equalAverage="0" bottom="0" percent="0" rank="0" text="" dxfId="3">
      <formula>0.86</formula>
      <formula>0.99</formula>
    </cfRule>
  </conditionalFormatting>
  <conditionalFormatting sqref="M3:M12 K4:K7 K9:K12">
    <cfRule type="cellIs" priority="6" operator="greaterThanOrEqual" aboveAverage="0" equalAverage="0" bottom="0" percent="0" rank="0" text="" dxfId="4">
      <formula>1</formula>
    </cfRule>
  </conditionalFormatting>
  <hyperlinks>
    <hyperlink ref="B69" r:id="rId1" display="Got rid of baptiste-wicht.net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8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"/>
    <col collapsed="false" customWidth="true" hidden="false" outlineLevel="0" max="3" min="3" style="0" width="9.88"/>
    <col collapsed="false" customWidth="true" hidden="false" outlineLevel="0" max="4" min="4" style="0" width="10.75"/>
    <col collapsed="false" customWidth="true" hidden="false" outlineLevel="0" max="5" min="5" style="0" width="10"/>
    <col collapsed="false" customWidth="true" hidden="false" outlineLevel="0" max="6" min="6" style="0" width="10.51"/>
    <col collapsed="false" customWidth="true" hidden="false" outlineLevel="0" max="9" min="7" style="0" width="9.51"/>
    <col collapsed="false" customWidth="true" hidden="false" outlineLevel="0" max="10" min="10" style="0" width="9.88"/>
    <col collapsed="false" customWidth="true" hidden="false" outlineLevel="0" max="11" min="11" style="0" width="9.13"/>
    <col collapsed="false" customWidth="true" hidden="false" outlineLevel="0" max="12" min="12" style="0" width="11.25"/>
    <col collapsed="false" customWidth="true" hidden="false" outlineLevel="0" max="16" min="16" style="0" width="11.63"/>
  </cols>
  <sheetData>
    <row r="1" customFormat="false" ht="15.75" hidden="false" customHeight="false" outlineLevel="0" collapsed="false">
      <c r="A1" s="2"/>
    </row>
    <row r="2" customFormat="false" ht="15.75" hidden="false" customHeight="false" outlineLevel="0" collapsed="false">
      <c r="D2" s="48" t="s">
        <v>66</v>
      </c>
      <c r="E2" s="48"/>
      <c r="F2" s="48"/>
      <c r="G2" s="49" t="n">
        <v>2024</v>
      </c>
      <c r="H2" s="49" t="s">
        <v>8</v>
      </c>
      <c r="I2" s="49" t="s">
        <v>9</v>
      </c>
      <c r="J2" s="49" t="s">
        <v>10</v>
      </c>
      <c r="K2" s="49" t="s">
        <v>11</v>
      </c>
      <c r="L2" s="50"/>
    </row>
    <row r="3" customFormat="false" ht="15.75" hidden="false" customHeight="false" outlineLevel="0" collapsed="false">
      <c r="D3" s="51" t="s">
        <v>12</v>
      </c>
      <c r="E3" s="51"/>
      <c r="F3" s="51"/>
      <c r="G3" s="51"/>
      <c r="H3" s="51"/>
      <c r="I3" s="52" t="n">
        <v>46022</v>
      </c>
      <c r="J3" s="53"/>
      <c r="K3" s="53"/>
    </row>
    <row r="4" customFormat="false" ht="17.65" hidden="false" customHeight="false" outlineLevel="0" collapsed="false">
      <c r="D4" s="54" t="s">
        <v>67</v>
      </c>
      <c r="E4" s="54"/>
      <c r="F4" s="54"/>
      <c r="G4" s="55" t="n">
        <f aca="false">'2024'!P23</f>
        <v>5670.333333</v>
      </c>
      <c r="H4" s="55" t="n">
        <f aca="false">G4*0.95</f>
        <v>5386.816667</v>
      </c>
      <c r="I4" s="55" t="n">
        <f aca="false">P25</f>
        <v>6098.9275</v>
      </c>
      <c r="J4" s="56" t="n">
        <f aca="false">I4/G4-1</f>
        <v>0.07558535653</v>
      </c>
      <c r="K4" s="57" t="n">
        <f aca="false">J4/-0.05</f>
        <v>-1.511707131</v>
      </c>
      <c r="L4" s="58"/>
    </row>
    <row r="5" customFormat="false" ht="17.65" hidden="false" customHeight="false" outlineLevel="0" collapsed="false">
      <c r="D5" s="54" t="s">
        <v>68</v>
      </c>
      <c r="E5" s="54"/>
      <c r="F5" s="54"/>
      <c r="G5" s="56" t="n">
        <f aca="false">'2024'!O31</f>
        <v>-0.07175606271</v>
      </c>
      <c r="H5" s="54" t="n">
        <v>2.5</v>
      </c>
      <c r="I5" s="56" t="n">
        <f aca="false">P31/'2024'!P29-1</f>
        <v>0.01533962453</v>
      </c>
      <c r="J5" s="56" t="n">
        <f aca="false">I5</f>
        <v>0.01533962453</v>
      </c>
      <c r="K5" s="57" t="n">
        <f aca="false">(I5)/(0.025)</f>
        <v>0.6135849812</v>
      </c>
      <c r="L5" s="58"/>
    </row>
    <row r="6" customFormat="false" ht="17.65" hidden="false" customHeight="false" outlineLevel="0" collapsed="false">
      <c r="D6" s="54" t="s">
        <v>16</v>
      </c>
      <c r="E6" s="54"/>
      <c r="F6" s="54"/>
      <c r="G6" s="59" t="n">
        <f aca="false">'2024'!O32</f>
        <v>0.4785842736</v>
      </c>
      <c r="H6" s="56" t="n">
        <f aca="false">'2024'!O32*1.025</f>
        <v>0.4905488805</v>
      </c>
      <c r="I6" s="56" t="n">
        <f aca="false">O34</f>
        <v>0.4953601453</v>
      </c>
      <c r="J6" s="56" t="n">
        <f aca="false">I6/G6-1</f>
        <v>0.03505311935</v>
      </c>
      <c r="K6" s="57" t="n">
        <f aca="false">(J6)/(0.025)</f>
        <v>1.402124774</v>
      </c>
      <c r="L6" s="58"/>
    </row>
    <row r="7" customFormat="false" ht="17.65" hidden="false" customHeight="false" outlineLevel="0" collapsed="false">
      <c r="D7" s="54" t="s">
        <v>18</v>
      </c>
      <c r="E7" s="54"/>
      <c r="F7" s="54"/>
      <c r="G7" s="54" t="n">
        <v>3</v>
      </c>
      <c r="H7" s="55" t="n">
        <v>3</v>
      </c>
      <c r="I7" s="55" t="n">
        <v>2</v>
      </c>
      <c r="J7" s="55"/>
      <c r="K7" s="57" t="n">
        <f aca="false">I7/3</f>
        <v>0.6666666667</v>
      </c>
      <c r="L7" s="58"/>
    </row>
    <row r="8" customFormat="false" ht="15.75" hidden="false" customHeight="false" outlineLevel="0" collapsed="false">
      <c r="D8" s="60" t="s">
        <v>19</v>
      </c>
      <c r="E8" s="60"/>
      <c r="F8" s="60"/>
      <c r="G8" s="60"/>
      <c r="H8" s="60"/>
      <c r="I8" s="60"/>
      <c r="J8" s="60"/>
      <c r="K8" s="60"/>
      <c r="L8" s="50"/>
    </row>
    <row r="9" customFormat="false" ht="17.65" hidden="false" customHeight="false" outlineLevel="0" collapsed="false">
      <c r="D9" s="54" t="s">
        <v>69</v>
      </c>
      <c r="E9" s="54"/>
      <c r="F9" s="54"/>
      <c r="G9" s="61" t="n">
        <f aca="false">'2024'!P53</f>
        <v>48.66666667</v>
      </c>
      <c r="H9" s="61" t="n">
        <f aca="false">G9*110%</f>
        <v>53.53333333</v>
      </c>
      <c r="I9" s="55" t="n">
        <f aca="false">P56</f>
        <v>63.58333333</v>
      </c>
      <c r="J9" s="56" t="n">
        <f aca="false">I9/G9-1</f>
        <v>0.306506849157089</v>
      </c>
      <c r="K9" s="57" t="n">
        <f aca="false">J9/0.1</f>
        <v>3.065068493</v>
      </c>
      <c r="L9" s="58"/>
    </row>
    <row r="10" customFormat="false" ht="17.65" hidden="false" customHeight="false" outlineLevel="0" collapsed="false">
      <c r="D10" s="54" t="s">
        <v>70</v>
      </c>
      <c r="E10" s="54"/>
      <c r="F10" s="54"/>
      <c r="G10" s="61" t="n">
        <f aca="false">'2024'!O68/12</f>
        <v>3.5</v>
      </c>
      <c r="H10" s="61" t="n">
        <f aca="false">G10*150%</f>
        <v>5.25</v>
      </c>
      <c r="I10" s="55" t="n">
        <f aca="false">P71</f>
        <v>7.583333333</v>
      </c>
      <c r="J10" s="56" t="n">
        <f aca="false">I10/G10-1</f>
        <v>1.16666666657143</v>
      </c>
      <c r="K10" s="57" t="n">
        <f aca="false">J10/0.5</f>
        <v>2.333333333</v>
      </c>
      <c r="L10" s="58"/>
    </row>
    <row r="11" customFormat="false" ht="17.65" hidden="false" customHeight="false" outlineLevel="0" collapsed="false">
      <c r="D11" s="54" t="s">
        <v>22</v>
      </c>
      <c r="E11" s="54"/>
      <c r="F11" s="54"/>
      <c r="G11" s="62" t="n">
        <f aca="false">'2024'!P59</f>
        <v>11616.78297</v>
      </c>
      <c r="H11" s="55" t="n">
        <f aca="false">G11*1.05</f>
        <v>12197.62212</v>
      </c>
      <c r="I11" s="55" t="n">
        <f aca="false">P62</f>
        <v>14942.83962</v>
      </c>
      <c r="J11" s="56" t="n">
        <f aca="false">I11/G11-1</f>
        <v>0.286314779107903</v>
      </c>
      <c r="K11" s="57" t="n">
        <f aca="false">J11/0.05</f>
        <v>5.726295565</v>
      </c>
      <c r="L11" s="58"/>
    </row>
    <row r="12" customFormat="false" ht="17.65" hidden="false" customHeight="false" outlineLevel="0" collapsed="false">
      <c r="D12" s="54" t="s">
        <v>71</v>
      </c>
      <c r="E12" s="54"/>
      <c r="F12" s="54"/>
      <c r="G12" s="61" t="n">
        <f aca="false">'2024'!P47</f>
        <v>9.480583333</v>
      </c>
      <c r="H12" s="63" t="n">
        <f aca="false">G12*0.95</f>
        <v>9.00655416635</v>
      </c>
      <c r="I12" s="63" t="n">
        <f aca="false">P50</f>
        <v>8.370666667</v>
      </c>
      <c r="J12" s="56" t="n">
        <f aca="false">I12/G12-1</f>
        <v>-0.11707261325752</v>
      </c>
      <c r="K12" s="57" t="n">
        <f aca="false">J12/-0.05</f>
        <v>2.3414522651504</v>
      </c>
      <c r="L12" s="58"/>
    </row>
    <row r="13" customFormat="false" ht="17.65" hidden="false" customHeight="false" outlineLevel="0" collapsed="false">
      <c r="D13" s="54" t="s">
        <v>72</v>
      </c>
      <c r="E13" s="54"/>
      <c r="F13" s="54"/>
      <c r="G13" s="62" t="n">
        <f aca="false">'2024'!P43</f>
        <v>489.6666667</v>
      </c>
      <c r="H13" s="55" t="n">
        <f aca="false">G13*0.95</f>
        <v>465.183333365</v>
      </c>
      <c r="I13" s="55" t="n">
        <f aca="false">P41</f>
        <v>696.5666667</v>
      </c>
      <c r="J13" s="56" t="n">
        <f aca="false">I13/G13-1</f>
        <v>0.422532334892952</v>
      </c>
      <c r="K13" s="57" t="n">
        <f aca="false">J13/-0.05</f>
        <v>-8.45064669785904</v>
      </c>
      <c r="L13" s="58"/>
    </row>
    <row r="15" customFormat="false" ht="22.05" hidden="false" customHeight="false" outlineLevel="0" collapsed="false">
      <c r="B15" s="64" t="s">
        <v>26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</row>
    <row r="16" customFormat="false" ht="15.75" hidden="false" customHeight="false" outlineLevel="0" collapsed="false">
      <c r="B16" s="1"/>
      <c r="C16" s="65" t="s">
        <v>27</v>
      </c>
      <c r="D16" s="65" t="s">
        <v>28</v>
      </c>
      <c r="E16" s="65" t="s">
        <v>29</v>
      </c>
      <c r="F16" s="65" t="s">
        <v>30</v>
      </c>
      <c r="G16" s="65" t="s">
        <v>31</v>
      </c>
      <c r="H16" s="65" t="s">
        <v>32</v>
      </c>
      <c r="I16" s="65" t="s">
        <v>33</v>
      </c>
      <c r="J16" s="65" t="s">
        <v>34</v>
      </c>
      <c r="K16" s="65" t="s">
        <v>35</v>
      </c>
      <c r="L16" s="65" t="s">
        <v>36</v>
      </c>
      <c r="M16" s="65" t="s">
        <v>37</v>
      </c>
      <c r="N16" s="65" t="s">
        <v>38</v>
      </c>
      <c r="O16" s="65" t="s">
        <v>39</v>
      </c>
      <c r="P16" s="66" t="s">
        <v>40</v>
      </c>
      <c r="Q16" s="66" t="s">
        <v>41</v>
      </c>
    </row>
    <row r="17" customFormat="false" ht="15.75" hidden="false" customHeight="false" outlineLevel="0" collapsed="false">
      <c r="B17" s="67" t="s">
        <v>4</v>
      </c>
      <c r="C17" s="68" t="n">
        <v>1235200.65</v>
      </c>
      <c r="D17" s="68" t="n">
        <v>1391401</v>
      </c>
      <c r="E17" s="68" t="n">
        <v>1368375.56</v>
      </c>
      <c r="F17" s="68" t="n">
        <v>1349161</v>
      </c>
      <c r="G17" s="68" t="n">
        <v>1428566</v>
      </c>
      <c r="H17" s="68" t="n">
        <v>1441547</v>
      </c>
      <c r="I17" s="68" t="n">
        <v>1498857.92</v>
      </c>
      <c r="J17" s="68" t="n">
        <v>1538581.27</v>
      </c>
      <c r="K17" s="68" t="n">
        <v>1626867.64</v>
      </c>
      <c r="L17" s="68" t="n">
        <v>1648470</v>
      </c>
      <c r="M17" s="68" t="n">
        <v>1663644</v>
      </c>
      <c r="N17" s="68" t="n">
        <v>1722322</v>
      </c>
      <c r="O17" s="68" t="n">
        <f aca="false">IFERROR(LOOKUP(9^9,C17:N17),"")</f>
        <v>1722322</v>
      </c>
      <c r="P17" s="2" t="s">
        <v>42</v>
      </c>
      <c r="Q17" s="2" t="s">
        <v>42</v>
      </c>
    </row>
    <row r="18" customFormat="false" ht="15.75" hidden="false" customHeight="false" outlineLevel="0" collapsed="false">
      <c r="B18" s="69" t="s">
        <v>43</v>
      </c>
      <c r="C18" s="70" t="n">
        <f aca="false">IF(C17&gt;0,C17-'2024'!N15,"")</f>
        <v>46564.65</v>
      </c>
      <c r="D18" s="70" t="n">
        <f aca="false">IF(D17&gt;0,D17-C17,"")</f>
        <v>156200.35</v>
      </c>
      <c r="E18" s="70" t="n">
        <f aca="false">IF(E17&gt;0,E17-D17,"")</f>
        <v>-23025.4399999999</v>
      </c>
      <c r="F18" s="70" t="n">
        <f aca="false">IF(F17&gt;0,F17-E17,"")</f>
        <v>-19214.5600000001</v>
      </c>
      <c r="G18" s="70" t="n">
        <f aca="false">IF(G17&gt;0,G17-F17,"")</f>
        <v>79405</v>
      </c>
      <c r="H18" s="70" t="n">
        <f aca="false">IF(H17&gt;0,H17-G17,"")</f>
        <v>12981</v>
      </c>
      <c r="I18" s="70" t="n">
        <f aca="false">IF(I17&gt;0,I17-H17,"")</f>
        <v>57310.9199999999</v>
      </c>
      <c r="J18" s="70" t="n">
        <f aca="false">IF(J17&gt;0,J17-I17,"")</f>
        <v>39723.3500000001</v>
      </c>
      <c r="K18" s="70" t="n">
        <f aca="false">IF(K17&gt;0,K17-J17,"")</f>
        <v>88286.3699999999</v>
      </c>
      <c r="L18" s="70" t="n">
        <f aca="false">IF(L17&gt;0,L17-K17,"")</f>
        <v>21602.3600000001</v>
      </c>
      <c r="M18" s="70" t="n">
        <f aca="false">IF(M17&gt;0,M17-L17,"")</f>
        <v>15174</v>
      </c>
      <c r="N18" s="70" t="n">
        <f aca="false">IF(N17&gt;0,N17-M17,"")</f>
        <v>58678</v>
      </c>
      <c r="O18" s="71" t="n">
        <f aca="false">SUM(C18:N18)</f>
        <v>533686</v>
      </c>
      <c r="P18" s="71" t="n">
        <f aca="false">AVERAGE(C18:N18)</f>
        <v>44473.8333333333</v>
      </c>
      <c r="Q18" s="71" t="n">
        <f aca="false">MEDIAN(C18:N18)</f>
        <v>43144</v>
      </c>
    </row>
    <row r="19" customFormat="false" ht="15.75" hidden="false" customHeight="false" outlineLevel="0" collapsed="false">
      <c r="B19" s="69" t="s">
        <v>44</v>
      </c>
      <c r="C19" s="72" t="n">
        <f aca="false">IF(C17&gt;0,(C17-'2024'!N15)/'2024'!N15,"")</f>
        <v>0.03917486093</v>
      </c>
      <c r="D19" s="72" t="n">
        <f aca="false">IF(D17&gt;0,(D17-C17)/C17,"")</f>
        <v>0.126457470695146</v>
      </c>
      <c r="E19" s="72" t="n">
        <f aca="false">IF(E17&gt;0,(E17-D17)/D17,"")</f>
        <v>-0.0165483854043514</v>
      </c>
      <c r="F19" s="72" t="n">
        <f aca="false">IF(F17&gt;0,(F17-E17)/E17,"")</f>
        <v>-0.0140418760475378</v>
      </c>
      <c r="G19" s="72" t="n">
        <f aca="false">IF(G17&gt;0,(G17-F17)/F17,"")</f>
        <v>0.058855095870693</v>
      </c>
      <c r="H19" s="72" t="n">
        <f aca="false">IF(H17&gt;0,(H17-G17)/G17,"")</f>
        <v>0.00908673452959121</v>
      </c>
      <c r="I19" s="72" t="n">
        <f aca="false">IF(I17&gt;0,(I17-H17)/H17,"")</f>
        <v>0.0397565393289292</v>
      </c>
      <c r="J19" s="72" t="n">
        <f aca="false">IF(J17&gt;0,(J17-I17)/I17,"")</f>
        <v>0.0265024119164011</v>
      </c>
      <c r="K19" s="72" t="n">
        <f aca="false">IF(K17&gt;0,(K17-J17)/J17,"")</f>
        <v>0.0573816747424723</v>
      </c>
      <c r="L19" s="72" t="n">
        <f aca="false">IF(L17&gt;0,(L17-K17)/K17,"")</f>
        <v>0.0132784987966201</v>
      </c>
      <c r="M19" s="72" t="n">
        <f aca="false">IF(M17&gt;0,(M17-L17)/L17,"")</f>
        <v>0.00920489908824546</v>
      </c>
      <c r="N19" s="72" t="n">
        <f aca="false">IF(N17&gt;0,(N17-M17)/M17,"")</f>
        <v>0.0352707670631457</v>
      </c>
      <c r="O19" s="73" t="s">
        <v>42</v>
      </c>
      <c r="P19" s="72" t="n">
        <f aca="false">AVERAGE(C19:N19)</f>
        <v>0.0320315576257796</v>
      </c>
      <c r="Q19" s="72" t="n">
        <f aca="false">MEDIAN(C19:N19)</f>
        <v>0.0308865894897734</v>
      </c>
    </row>
    <row r="20" customFormat="false" ht="15.75" hidden="false" customHeight="false" outlineLevel="0" collapsed="false">
      <c r="B20" s="69" t="s">
        <v>45</v>
      </c>
      <c r="C20" s="72" t="n">
        <f aca="false">IF(C17&gt;0,(C17-'2024'!C15)/'2024'!C15,"")</f>
        <v>0.5147082484</v>
      </c>
      <c r="D20" s="72" t="n">
        <f aca="false">IF(D17&gt;0,(D17-'2024'!D15)/'2024'!D15,"")</f>
        <v>0.4825843876</v>
      </c>
      <c r="E20" s="72" t="n">
        <f aca="false">IF(E17&gt;0,(E17-'2024'!E15)/'2024'!E15,"")</f>
        <v>0.3520255154</v>
      </c>
      <c r="F20" s="72" t="n">
        <f aca="false">IF(F17&gt;0,(F17-'2024'!F15)/'2024'!F15,"")</f>
        <v>0.3268487121</v>
      </c>
      <c r="G20" s="72" t="n">
        <f aca="false">IF(G17&gt;0,(G17-'2024'!G15)/'2024'!G15,"")</f>
        <v>0.3346780711</v>
      </c>
      <c r="H20" s="72" t="n">
        <f aca="false">IF(H17&gt;0,(H17-'2024'!H15)/'2024'!H15,"")</f>
        <v>0.3113091877</v>
      </c>
      <c r="I20" s="72" t="n">
        <f aca="false">IF(I17&gt;0,(I17-'2024'!I15)/'2024'!I15,"")</f>
        <v>0.3992854659</v>
      </c>
      <c r="J20" s="72" t="n">
        <f aca="false">IF(J17&gt;0,(J17-'2024'!J15)/'2024'!J15,"")</f>
        <v>0.4268384192</v>
      </c>
      <c r="K20" s="72" t="n">
        <f aca="false">IF(K17&gt;0,(K17-'2024'!K15)/'2024'!K15,"")</f>
        <v>0.4581626015</v>
      </c>
      <c r="L20" s="72" t="n">
        <f aca="false">IF(L17&gt;0,(L17-'2024'!L15)/'2024'!L15,"")</f>
        <v>0.4455622142</v>
      </c>
      <c r="M20" s="72" t="n">
        <f aca="false">IF(M17&gt;0,(M17-'2024'!M15)/'2024'!M15,"")</f>
        <v>0.4031914829</v>
      </c>
      <c r="N20" s="72" t="n">
        <f aca="false">IF(N17&gt;0,(N17-'2024'!N15)/'2024'!N15,"")</f>
        <v>0.4489902712</v>
      </c>
      <c r="O20" s="72" t="n">
        <f aca="false">IF(O17&gt;0,(O17-'2024'!O15)/'2024'!O15,"")</f>
        <v>0.4489902712</v>
      </c>
      <c r="P20" s="72" t="n">
        <f aca="false">AVERAGE(C20:N20)</f>
        <v>0.4086820481</v>
      </c>
      <c r="Q20" s="72" t="n">
        <f aca="false">MEDIAN(C20:N20)</f>
        <v>0.41501495105</v>
      </c>
    </row>
    <row r="21" customFormat="false" ht="15.75" hidden="false" customHeight="false" outlineLevel="0" collapsed="false">
      <c r="B21" s="67" t="s">
        <v>5</v>
      </c>
      <c r="C21" s="2" t="n">
        <v>36.75</v>
      </c>
      <c r="D21" s="2" t="n">
        <v>29.02</v>
      </c>
      <c r="E21" s="2" t="n">
        <v>29.2</v>
      </c>
      <c r="F21" s="2" t="n">
        <v>28.27</v>
      </c>
      <c r="G21" s="2" t="n">
        <v>30.1</v>
      </c>
      <c r="H21" s="2" t="n">
        <v>31.54</v>
      </c>
      <c r="I21" s="2" t="n">
        <v>29.12</v>
      </c>
      <c r="J21" s="74" t="n">
        <v>26.61</v>
      </c>
      <c r="K21" s="74" t="n">
        <v>32.4</v>
      </c>
      <c r="L21" s="74" t="n">
        <v>28.61</v>
      </c>
      <c r="M21" s="2" t="n">
        <v>28.98</v>
      </c>
      <c r="N21" s="2" t="n">
        <v>33.58</v>
      </c>
      <c r="O21" s="3" t="n">
        <f aca="false">IFERROR(LOOKUP(9^9,C21:N21),"")</f>
        <v>33.58</v>
      </c>
      <c r="P21" s="3" t="n">
        <f aca="false">AVERAGE(C21:N21)</f>
        <v>30.3483333333333</v>
      </c>
      <c r="Q21" s="3" t="n">
        <f aca="false">MEDIAN(C21:N21)</f>
        <v>29.16</v>
      </c>
    </row>
    <row r="22" customFormat="false" ht="15.75" hidden="false" customHeight="false" outlineLevel="0" collapsed="false">
      <c r="B22" s="69" t="s">
        <v>46</v>
      </c>
      <c r="C22" s="75" t="n">
        <f aca="false">C21-'2024'!N19</f>
        <v>1.94</v>
      </c>
      <c r="D22" s="75" t="n">
        <f aca="false">IF(D21&gt;0,D21-C21,"")</f>
        <v>-7.73</v>
      </c>
      <c r="E22" s="75" t="n">
        <f aca="false">IF(E21&gt;0,E21-D21,"")</f>
        <v>0.18</v>
      </c>
      <c r="F22" s="75" t="n">
        <f aca="false">IF(F21&gt;0,F21-E21,"")</f>
        <v>-0.93</v>
      </c>
      <c r="G22" s="75" t="n">
        <f aca="false">IF(G21&gt;0,G21-F21,"")</f>
        <v>1.83</v>
      </c>
      <c r="H22" s="75" t="n">
        <f aca="false">IF(H21&gt;0,H21-G21,"")</f>
        <v>1.44</v>
      </c>
      <c r="I22" s="75" t="n">
        <f aca="false">IF(I21&gt;0,I21-H21,"")</f>
        <v>-2.42</v>
      </c>
      <c r="J22" s="71" t="n">
        <f aca="false">IF(J21&gt;0,J21-I21,"")</f>
        <v>-2.51</v>
      </c>
      <c r="K22" s="71" t="n">
        <f aca="false">IF(K21&gt;0,K21-J21,"")</f>
        <v>5.79</v>
      </c>
      <c r="L22" s="71" t="n">
        <f aca="false">IF(L21&gt;0,L21-K21,"")</f>
        <v>-3.79</v>
      </c>
      <c r="M22" s="71" t="n">
        <f aca="false">IF(M21&gt;0,M21-L21,"")</f>
        <v>0.370000000000001</v>
      </c>
      <c r="N22" s="75" t="n">
        <f aca="false">IF(N21&gt;0,N21-M21,"")</f>
        <v>4.6</v>
      </c>
      <c r="O22" s="69" t="n">
        <f aca="false">SUM(C22:N22)</f>
        <v>-1.23</v>
      </c>
      <c r="P22" s="69" t="n">
        <f aca="false">AVERAGE(C22:N22)</f>
        <v>-0.1025</v>
      </c>
      <c r="Q22" s="69"/>
    </row>
    <row r="23" customFormat="false" ht="15.75" hidden="false" customHeight="false" outlineLevel="0" collapsed="false">
      <c r="B23" s="69" t="s">
        <v>44</v>
      </c>
      <c r="C23" s="76" t="n">
        <f aca="false">(C21-'2024'!N19)/'2024'!N19</f>
        <v>0.05573111175</v>
      </c>
      <c r="D23" s="76" t="n">
        <f aca="false">IF(D21&gt;0,(D21-C21)/C21,"")</f>
        <v>-0.210340136054422</v>
      </c>
      <c r="E23" s="76" t="n">
        <f aca="false">IF(E21&gt;0,(E21-D21)/D21,"")</f>
        <v>0.00620261888352859</v>
      </c>
      <c r="F23" s="76" t="n">
        <f aca="false">IF(F21&gt;0,(F21-E21)/E21,"")</f>
        <v>-0.0318493150684931</v>
      </c>
      <c r="G23" s="76" t="n">
        <f aca="false">IF(G21&gt;0,(G21-F21)/F21,"")</f>
        <v>0.0647329324372127</v>
      </c>
      <c r="H23" s="76" t="n">
        <f aca="false">IF(H21&gt;0,(H21-G21)/G21,"")</f>
        <v>0.0478405315614617</v>
      </c>
      <c r="I23" s="76" t="n">
        <f aca="false">IF(I21&gt;0,(I21-H21)/H21,"")</f>
        <v>-0.0767279644895371</v>
      </c>
      <c r="J23" s="76" t="n">
        <f aca="false">IF(J21&gt;0,(J21-I21)/I21,"")</f>
        <v>-0.086195054945055</v>
      </c>
      <c r="K23" s="76" t="n">
        <f aca="false">IF(K21&gt;0,(K21-J21)/J21,"")</f>
        <v>0.217587373167982</v>
      </c>
      <c r="L23" s="76" t="n">
        <f aca="false">IF(L21&gt;0,(L21-K21)/K21,"")</f>
        <v>-0.116975308641975</v>
      </c>
      <c r="M23" s="76" t="n">
        <f aca="false">IF(M21&gt;0,(M21-L21)/L21,"")</f>
        <v>0.0129325410695561</v>
      </c>
      <c r="N23" s="76" t="n">
        <f aca="false">IF(N21&gt;0,(N21-M21)/M21,"")</f>
        <v>0.158730158730159</v>
      </c>
      <c r="O23" s="73" t="s">
        <v>42</v>
      </c>
      <c r="P23" s="72" t="n">
        <f aca="false">AVERAGE(C23:N23)</f>
        <v>0.00347245736670145</v>
      </c>
      <c r="Q23" s="72" t="n">
        <f aca="false">MEDIAN(C23:N23)</f>
        <v>0.00956757997654236</v>
      </c>
    </row>
    <row r="24" customFormat="false" ht="15.75" hidden="false" customHeight="false" outlineLevel="0" collapsed="false">
      <c r="B24" s="69" t="s">
        <v>45</v>
      </c>
      <c r="C24" s="76" t="n">
        <f aca="false">IF(C21&gt;0,(C21-'2024'!C19)/'2024'!C19,"")</f>
        <v>0.5759005146</v>
      </c>
      <c r="D24" s="76" t="n">
        <f aca="false">IF(D21&gt;0,(D21-'2024'!D19)/'2024'!D19,"")</f>
        <v>-0.07873015873</v>
      </c>
      <c r="E24" s="76" t="n">
        <f aca="false">IF(E21&gt;0,(E21-'2024'!E19)/'2024'!E19,"")</f>
        <v>-0.1704545455</v>
      </c>
      <c r="F24" s="76" t="n">
        <f aca="false">IF(F21&gt;0,(F21-'2024'!F19)/'2024'!F19,"")</f>
        <v>-0.1441114139</v>
      </c>
      <c r="G24" s="76" t="n">
        <f aca="false">IF(G21&gt;0,(G21-'2024'!G19)/'2024'!G19,"")</f>
        <v>-0.1154863356</v>
      </c>
      <c r="H24" s="76" t="n">
        <f aca="false">IF(H21&gt;0,(H21-'2024'!H19)/'2024'!H19,"")</f>
        <v>-0.1494066882</v>
      </c>
      <c r="I24" s="76" t="n">
        <f aca="false">IF(I21&gt;0,(I21-'2024'!I19)/'2024'!I19,"")</f>
        <v>-0.01721228485</v>
      </c>
      <c r="J24" s="76" t="n">
        <f aca="false">IF(J21&gt;0,(J21-'2024'!J19)/'2024'!J19,"")</f>
        <v>-0.1034366577</v>
      </c>
      <c r="K24" s="76" t="n">
        <f aca="false">IF(K21&gt;0,(K21-'2024'!K19)/'2024'!K19,"")</f>
        <v>0.0371318822</v>
      </c>
      <c r="L24" s="76" t="n">
        <f aca="false">IF(L21&gt;0,(L21-'2024'!L19)/'2024'!L19,"")</f>
        <v>-0.09203427483</v>
      </c>
      <c r="M24" s="76" t="n">
        <f aca="false">IF(M21&gt;0,(M21-'2024'!M19)/'2024'!M19,"")</f>
        <v>-0.1153846154</v>
      </c>
      <c r="N24" s="76" t="n">
        <f aca="false">IF(N21&gt;0,(N21-'2024'!N19)/'2024'!N19,"")</f>
        <v>-0.03533467394</v>
      </c>
      <c r="O24" s="76" t="n">
        <f aca="false">IF(O21&gt;0,(O21-'2024'!O19)/'2024'!O19,"")</f>
        <v>-0.03533467394</v>
      </c>
      <c r="P24" s="72" t="n">
        <f aca="false">AVERAGE(C24:N24)</f>
        <v>-0.0340466043208333</v>
      </c>
      <c r="Q24" s="72" t="n">
        <f aca="false">MEDIAN(C24:N24)</f>
        <v>-0.097735466265</v>
      </c>
    </row>
    <row r="25" customFormat="false" ht="15.75" hidden="false" customHeight="false" outlineLevel="0" collapsed="false">
      <c r="B25" s="2" t="s">
        <v>1</v>
      </c>
      <c r="C25" s="2" t="n">
        <v>4232</v>
      </c>
      <c r="D25" s="2" t="n">
        <v>5962</v>
      </c>
      <c r="E25" s="2" t="n">
        <v>6759</v>
      </c>
      <c r="F25" s="2" t="n">
        <v>6167</v>
      </c>
      <c r="G25" s="2" t="n">
        <v>5383</v>
      </c>
      <c r="H25" s="2" t="n">
        <v>4024</v>
      </c>
      <c r="I25" s="2" t="n">
        <v>3886</v>
      </c>
      <c r="J25" s="2" t="n">
        <v>5767</v>
      </c>
      <c r="K25" s="77" t="n">
        <v>10158.07</v>
      </c>
      <c r="L25" s="74" t="n">
        <v>8512.06</v>
      </c>
      <c r="M25" s="2" t="n">
        <v>5269</v>
      </c>
      <c r="N25" s="2" t="n">
        <v>7068</v>
      </c>
      <c r="O25" s="0" t="n">
        <f aca="false">SUM(C25:N25)</f>
        <v>73187.13</v>
      </c>
      <c r="P25" s="0" t="n">
        <f aca="false">AVERAGE(C25:N25)</f>
        <v>6098.9275</v>
      </c>
      <c r="Q25" s="0" t="n">
        <f aca="false">MEDIAN(C25:N25)</f>
        <v>5864.5</v>
      </c>
    </row>
    <row r="26" customFormat="false" ht="15.75" hidden="false" customHeight="false" outlineLevel="0" collapsed="false">
      <c r="B26" s="69" t="s">
        <v>44</v>
      </c>
      <c r="C26" s="78" t="n">
        <f aca="false">(C25-'2024'!N23)/'2024'!N23</f>
        <v>-0.3048620237</v>
      </c>
      <c r="D26" s="78" t="n">
        <f aca="false">IF(D25&gt;0,(D25-C25)/C25,"")</f>
        <v>0.408790170132325</v>
      </c>
      <c r="E26" s="78" t="n">
        <f aca="false">IF(E25&gt;0,(E25-D25)/D25,"")</f>
        <v>0.133679973163368</v>
      </c>
      <c r="F26" s="78" t="n">
        <f aca="false">IF(F25&gt;0,(F25-E25)/E25,"")</f>
        <v>-0.0875869211421808</v>
      </c>
      <c r="G26" s="78" t="n">
        <f aca="false">IF(G25&gt;0,(G25-F25)/F25,"")</f>
        <v>-0.127128263337117</v>
      </c>
      <c r="H26" s="78" t="n">
        <f aca="false">IF(H25&gt;0,(H25-G25)/G25,"")</f>
        <v>-0.252461452721531</v>
      </c>
      <c r="I26" s="78" t="n">
        <f aca="false">IF(I25&gt;0,(I25-H25)/H25,"")</f>
        <v>-0.0342942345924453</v>
      </c>
      <c r="J26" s="78" t="n">
        <f aca="false">IF(J25&gt;0,(J25-I25)/I25,"")</f>
        <v>0.484045290787442</v>
      </c>
      <c r="K26" s="78" t="n">
        <f aca="false">IF(K25&gt;0,(K25-J25)/J25,"")</f>
        <v>0.761413213109069</v>
      </c>
      <c r="L26" s="78" t="n">
        <f aca="false">IF(L25&gt;0,(L25-K25)/K25,"")</f>
        <v>-0.162039639419693</v>
      </c>
      <c r="M26" s="78" t="n">
        <f aca="false">IF(M25&gt;0,(M25-L25)/L25,"")</f>
        <v>-0.380995904634131</v>
      </c>
      <c r="N26" s="78" t="n">
        <f aca="false">IF(N25&gt;0,(N25-M25)/M25,"")</f>
        <v>0.341431011577149</v>
      </c>
      <c r="O26" s="73" t="s">
        <v>42</v>
      </c>
      <c r="P26" s="78" t="n">
        <f aca="false">AVERAGE(C26:N26)</f>
        <v>0.0649992682685213</v>
      </c>
      <c r="Q26" s="78" t="n">
        <f aca="false">MEDIAN(C26:N26)</f>
        <v>-0.0609405778673131</v>
      </c>
    </row>
    <row r="27" customFormat="false" ht="15.75" hidden="false" customHeight="false" outlineLevel="0" collapsed="false">
      <c r="B27" s="69" t="s">
        <v>45</v>
      </c>
      <c r="C27" s="78" t="n">
        <f aca="false">IF(C25&gt;0,(C25-'2024'!C23)/'2024'!C23,"")</f>
        <v>-0.1225378395</v>
      </c>
      <c r="D27" s="78" t="n">
        <f aca="false">IF(D25&gt;0,(D25-'2024'!D23)/'2024'!D23,"")</f>
        <v>1.064404432</v>
      </c>
      <c r="E27" s="78" t="n">
        <f aca="false">IF(E25&gt;0,(E25-'2024'!E23)/'2024'!E23,"")</f>
        <v>-0.0827792102</v>
      </c>
      <c r="F27" s="78" t="n">
        <f aca="false">IF(F25&gt;0,(F25-'2024'!F23)/'2024'!F23,"")</f>
        <v>0.09382759844</v>
      </c>
      <c r="G27" s="78" t="n">
        <f aca="false">IF(G25&gt;0,(G25-'2024'!G23)/'2024'!G23,"")</f>
        <v>-0.05875152999</v>
      </c>
      <c r="H27" s="78" t="n">
        <f aca="false">IF(H25&gt;0,(H25-'2024'!H23)/'2024'!H23,"")</f>
        <v>-0.3626860944</v>
      </c>
      <c r="I27" s="78" t="n">
        <f aca="false">IF(I25&gt;0,(I25-'2024'!I23)/'2024'!I23,"")</f>
        <v>-0.3526570048</v>
      </c>
      <c r="J27" s="78" t="n">
        <f aca="false">IF(J25&gt;0,(J25-'2024'!J23)/'2024'!J23,"")</f>
        <v>0.1182858251</v>
      </c>
      <c r="K27" s="78" t="n">
        <f aca="false">IF(K25&gt;0,(K25-'2024'!K23)/'2024'!K23,"")</f>
        <v>0.8502859745</v>
      </c>
      <c r="L27" s="78" t="n">
        <f aca="false">IF(L25&gt;0,(L25-'2024'!L23)/'2024'!L23,"")</f>
        <v>0.178792411</v>
      </c>
      <c r="M27" s="78" t="n">
        <f aca="false">IF(M25&gt;0,(M25-'2024'!M23)/'2024'!M23,"")</f>
        <v>-0.01218597675</v>
      </c>
      <c r="N27" s="78" t="n">
        <f aca="false">IF(N25&gt;0,(N25-'2024'!N23)/'2024'!N23,"")</f>
        <v>0.1609724047</v>
      </c>
      <c r="O27" s="78" t="n">
        <f aca="false">IF(O25&gt;0,(O25-'2024'!O23)/'2024'!O23,"")</f>
        <v>0.07558535653</v>
      </c>
      <c r="P27" s="78" t="n">
        <f aca="false">AVERAGE(C27:N27)</f>
        <v>0.122914249175</v>
      </c>
      <c r="Q27" s="78" t="n">
        <f aca="false">MEDIAN(C27:N27)</f>
        <v>0.040820810845</v>
      </c>
    </row>
    <row r="28" customFormat="false" ht="15.75" hidden="false" customHeight="false" outlineLevel="0" collapsed="false">
      <c r="B28" s="2" t="s">
        <v>2</v>
      </c>
      <c r="C28" s="2" t="n">
        <v>8231.11</v>
      </c>
      <c r="D28" s="2" t="n">
        <v>7425</v>
      </c>
      <c r="E28" s="2" t="n">
        <v>6759</v>
      </c>
      <c r="F28" s="2" t="n">
        <v>6887</v>
      </c>
      <c r="G28" s="2" t="n">
        <v>8177</v>
      </c>
      <c r="H28" s="2" t="n">
        <v>9415</v>
      </c>
      <c r="I28" s="2" t="n">
        <v>14886</v>
      </c>
      <c r="J28" s="2" t="n">
        <v>13524</v>
      </c>
      <c r="K28" s="77" t="n">
        <v>17915.17</v>
      </c>
      <c r="L28" s="74" t="n">
        <v>27195.16</v>
      </c>
      <c r="M28" s="2" t="n">
        <v>13206</v>
      </c>
      <c r="N28" s="2" t="n">
        <v>14825</v>
      </c>
      <c r="O28" s="0" t="n">
        <f aca="false">SUM(C28:N28)</f>
        <v>148445.44</v>
      </c>
      <c r="P28" s="0" t="n">
        <f aca="false">AVERAGE(C28:N28)</f>
        <v>12370.4533333333</v>
      </c>
      <c r="Q28" s="0" t="n">
        <f aca="false">MEDIAN(C28:N28)</f>
        <v>11310.5</v>
      </c>
    </row>
    <row r="29" customFormat="false" ht="15.75" hidden="false" customHeight="false" outlineLevel="0" collapsed="false">
      <c r="B29" s="69" t="s">
        <v>44</v>
      </c>
      <c r="C29" s="78" t="n">
        <f aca="false">(C28-'2024'!N26)/'2024'!N26</f>
        <v>-0.3483405906</v>
      </c>
      <c r="D29" s="78" t="n">
        <f aca="false">IF(D28&gt;0,(D28-C28)/C28,"")</f>
        <v>-0.0979345434576868</v>
      </c>
      <c r="E29" s="78" t="n">
        <f aca="false">IF(E28&gt;0,(E28-D28)/D28,"")</f>
        <v>-0.0896969696969697</v>
      </c>
      <c r="F29" s="78" t="n">
        <f aca="false">IF(F28&gt;0,(F28-E28)/E28,"")</f>
        <v>0.0189377126793904</v>
      </c>
      <c r="G29" s="78" t="n">
        <f aca="false">IF(G28&gt;0,(G28-F28)/F28,"")</f>
        <v>0.187309423551619</v>
      </c>
      <c r="H29" s="78" t="n">
        <f aca="false">IF(H28&gt;0,(H28-G28)/G28,"")</f>
        <v>0.151400269047328</v>
      </c>
      <c r="I29" s="78" t="n">
        <f aca="false">IF(I28&gt;0,(I28-H28)/H28,"")</f>
        <v>0.581093998937865</v>
      </c>
      <c r="J29" s="78" t="n">
        <f aca="false">IF(J28&gt;0,(J28-I28)/I28,"")</f>
        <v>-0.0914953647722692</v>
      </c>
      <c r="K29" s="78" t="n">
        <f aca="false">IF(K28&gt;0,(K28-J28)/J28,"")</f>
        <v>0.324694616977226</v>
      </c>
      <c r="L29" s="78" t="n">
        <f aca="false">IF(L28&gt;0,(L28-K28)/K28,"")</f>
        <v>0.517996200984976</v>
      </c>
      <c r="M29" s="78" t="n">
        <f aca="false">IF(M28&gt;0,(M28-L28)/L28,"")</f>
        <v>-0.51439888568407</v>
      </c>
      <c r="N29" s="78" t="n">
        <f aca="false">IF(N28&gt;0,(N28-M28)/M28,"")</f>
        <v>0.122595789792519</v>
      </c>
      <c r="O29" s="73" t="s">
        <v>42</v>
      </c>
      <c r="P29" s="78" t="n">
        <f aca="false">AVERAGE(C29:N29)</f>
        <v>0.0635134714799938</v>
      </c>
      <c r="Q29" s="78" t="n">
        <f aca="false">MEDIAN(C29:N29)</f>
        <v>0.0707667512359545</v>
      </c>
    </row>
    <row r="30" customFormat="false" ht="15.75" hidden="false" customHeight="false" outlineLevel="0" collapsed="false">
      <c r="B30" s="69" t="s">
        <v>45</v>
      </c>
      <c r="C30" s="78" t="n">
        <f aca="false">IF(C28&gt;0,(C28-'2024'!C26)/'2024'!C26,"")</f>
        <v>-0.02022259255</v>
      </c>
      <c r="D30" s="78" t="n">
        <f aca="false">IF(D28&gt;0,(D28-'2024'!D26)/'2024'!D26,"")</f>
        <v>0.5889150439</v>
      </c>
      <c r="E30" s="78" t="n">
        <f aca="false">IF(E28&gt;0,(E28-'2024'!E26)/'2024'!E26,"")</f>
        <v>-0.08612763656</v>
      </c>
      <c r="F30" s="78" t="n">
        <f aca="false">IF(F28&gt;0,(F28-'2024'!F26)/'2024'!F26,"")</f>
        <v>-0.5146924107</v>
      </c>
      <c r="G30" s="78" t="n">
        <f aca="false">IF(G28&gt;0,(G28-'2024'!G26)/'2024'!G26,"")</f>
        <v>-0.3705157814</v>
      </c>
      <c r="H30" s="78" t="n">
        <f aca="false">IF(H28&gt;0,(H28-'2024'!H26)/'2024'!H26,"")</f>
        <v>-0.06892800633</v>
      </c>
      <c r="I30" s="78" t="n">
        <f aca="false">IF(I28&gt;0,(I28-'2024'!I26)/'2024'!I26,"")</f>
        <v>-0.5228081423</v>
      </c>
      <c r="J30" s="78" t="n">
        <f aca="false">IF(J28&gt;0,(J28-'2024'!J26)/'2024'!J26,"")</f>
        <v>0.1459074733</v>
      </c>
      <c r="K30" s="78" t="n">
        <f aca="false">IF(K28&gt;0,(K28-'2024'!K26)/'2024'!K26,"")</f>
        <v>0.4888365329</v>
      </c>
      <c r="L30" s="78" t="n">
        <f aca="false">IF(L28&gt;0,(L28-'2024'!L26)/'2024'!L26,"")</f>
        <v>0.9759616363</v>
      </c>
      <c r="M30" s="78" t="n">
        <f aca="false">IF(M28&gt;0,(M28-'2024'!M26)/'2024'!M26,"")</f>
        <v>0.1119905692</v>
      </c>
      <c r="N30" s="78" t="n">
        <f aca="false">IF(N28&gt;0,(N28-'2024'!N26)/'2024'!N26,"")</f>
        <v>0.1736996279</v>
      </c>
      <c r="O30" s="78" t="n">
        <f aca="false">IF(O28&gt;0,(O28-'2024'!O26)/'2024'!O26,"")</f>
        <v>-0.01732760504</v>
      </c>
      <c r="P30" s="78" t="n">
        <f aca="false">AVERAGE(C30:N30)</f>
        <v>0.0751680261383333</v>
      </c>
      <c r="Q30" s="78" t="n">
        <f aca="false">MEDIAN(C30:N30)</f>
        <v>0.045883988325</v>
      </c>
    </row>
    <row r="31" customFormat="false" ht="15.75" hidden="false" customHeight="false" outlineLevel="0" collapsed="false">
      <c r="B31" s="2" t="s">
        <v>3</v>
      </c>
      <c r="C31" s="2" t="n">
        <v>16916.45</v>
      </c>
      <c r="D31" s="2" t="n">
        <v>37728</v>
      </c>
      <c r="E31" s="2" t="n">
        <v>50876</v>
      </c>
      <c r="F31" s="2" t="n">
        <v>17619</v>
      </c>
      <c r="G31" s="2" t="n">
        <v>25504</v>
      </c>
      <c r="H31" s="2" t="n">
        <v>17743</v>
      </c>
      <c r="I31" s="2" t="n">
        <v>16992</v>
      </c>
      <c r="J31" s="2" t="n">
        <v>29127</v>
      </c>
      <c r="K31" s="77" t="n">
        <v>17487.45</v>
      </c>
      <c r="L31" s="74" t="n">
        <v>16731.25</v>
      </c>
      <c r="M31" s="2" t="n">
        <v>25211</v>
      </c>
      <c r="N31" s="2" t="n">
        <v>22226</v>
      </c>
      <c r="O31" s="0" t="n">
        <f aca="false">SUM(C31:N31)</f>
        <v>294161.15</v>
      </c>
      <c r="P31" s="0" t="n">
        <f aca="false">AVERAGE(C31:N31)</f>
        <v>24513.4291666667</v>
      </c>
      <c r="Q31" s="0" t="n">
        <f aca="false">MEDIAN(C31:N31)</f>
        <v>19984.5</v>
      </c>
    </row>
    <row r="32" customFormat="false" ht="15.75" hidden="false" customHeight="false" outlineLevel="0" collapsed="false">
      <c r="B32" s="69" t="s">
        <v>44</v>
      </c>
      <c r="C32" s="78" t="n">
        <f aca="false">(C31-'2024'!N29)/'2024'!N29</f>
        <v>-0.06045820605</v>
      </c>
      <c r="D32" s="78" t="n">
        <f aca="false">IF(D31&gt;0,(D31-C31)/C31,"")</f>
        <v>1.23025516582971</v>
      </c>
      <c r="E32" s="78" t="n">
        <f aca="false">IF(E31&gt;0,(E31-D31)/D31,"")</f>
        <v>0.348494486853266</v>
      </c>
      <c r="F32" s="78" t="n">
        <f aca="false">IF(F31&gt;0,(F31-E31)/E31,"")</f>
        <v>-0.653687396807925</v>
      </c>
      <c r="G32" s="78" t="n">
        <f aca="false">IF(G31&gt;0,(G31-F31)/F31,"")</f>
        <v>0.447528236562802</v>
      </c>
      <c r="H32" s="78" t="n">
        <f aca="false">IF(H31&gt;0,(H31-G31)/G31,"")</f>
        <v>-0.304305207026349</v>
      </c>
      <c r="I32" s="78" t="n">
        <f aca="false">IF(I31&gt;0,(I31-H31)/H31,"")</f>
        <v>-0.042326551316012</v>
      </c>
      <c r="J32" s="78" t="n">
        <f aca="false">IF(J31&gt;0,(J31-I31)/I31,"")</f>
        <v>0.714159604519774</v>
      </c>
      <c r="K32" s="78" t="n">
        <f aca="false">IF(K31&gt;0,(K31-J31)/J31,"")</f>
        <v>-0.399613760428468</v>
      </c>
      <c r="L32" s="78" t="n">
        <f aca="false">IF(L31&gt;0,(L31-K31)/K31,"")</f>
        <v>-0.0432424395780975</v>
      </c>
      <c r="M32" s="78" t="n">
        <f aca="false">IF(M31&gt;0,(M31-L31)/L31,"")</f>
        <v>0.506821068360105</v>
      </c>
      <c r="N32" s="78" t="n">
        <f aca="false">IF(N31&gt;0,(N31-M31)/M31,"")</f>
        <v>-0.118400698107969</v>
      </c>
      <c r="O32" s="73" t="s">
        <v>42</v>
      </c>
      <c r="P32" s="73" t="s">
        <v>42</v>
      </c>
      <c r="Q32" s="73" t="s">
        <v>42</v>
      </c>
    </row>
    <row r="33" customFormat="false" ht="15.75" hidden="false" customHeight="false" outlineLevel="0" collapsed="false">
      <c r="B33" s="69" t="s">
        <v>45</v>
      </c>
      <c r="C33" s="73" t="n">
        <f aca="false">IF(C31&gt;0,(C31-'2024'!C29)/'2024'!C29,"")</f>
        <v>0.02704450246</v>
      </c>
      <c r="D33" s="73" t="n">
        <f aca="false">IF(D31&gt;0,(D31-'2024'!D29)/'2024'!D29,"")</f>
        <v>0.06926652307</v>
      </c>
      <c r="E33" s="73" t="n">
        <f aca="false">IF(E31&gt;0,(E31-'2024'!E29)/'2024'!E29,"")</f>
        <v>0.03182103961</v>
      </c>
      <c r="F33" s="73" t="n">
        <f aca="false">IF(F31&gt;0,(F31-'2024'!F29)/'2024'!F29,"")</f>
        <v>-0.1036780791</v>
      </c>
      <c r="G33" s="73" t="n">
        <f aca="false">IF(G31&gt;0,(G31-'2024'!G29)/'2024'!G29,"")</f>
        <v>-0.05955234338</v>
      </c>
      <c r="H33" s="73" t="n">
        <f aca="false">IF(H31&gt;0,(H31-'2024'!H29)/'2024'!H29,"")</f>
        <v>-0.00627275273</v>
      </c>
      <c r="I33" s="73" t="n">
        <f aca="false">IF(I31&gt;0,(I31-'2024'!I29)/'2024'!I29,"")</f>
        <v>-0.1124111993</v>
      </c>
      <c r="J33" s="73" t="n">
        <f aca="false">IF(J31&gt;0,(J31-'2024'!J29)/'2024'!J29,"")</f>
        <v>0.06958725029</v>
      </c>
      <c r="K33" s="73" t="n">
        <f aca="false">IF(K31&gt;0,(K31-'2024'!K29)/'2024'!K29,"")</f>
        <v>-0.04398370873</v>
      </c>
      <c r="L33" s="73" t="n">
        <f aca="false">IF(L31&gt;0,(L31-'2024'!L29)/'2024'!L29,"")</f>
        <v>-0.03660678298</v>
      </c>
      <c r="M33" s="73" t="n">
        <f aca="false">IF(M31&gt;0,(M31-'2024'!M29)/'2024'!M29,"")</f>
        <v>0.05115910607</v>
      </c>
      <c r="N33" s="73" t="n">
        <f aca="false">IF(N31&gt;0,(N31-'2024'!N29)/'2024'!N29,"")</f>
        <v>0.2344348792</v>
      </c>
      <c r="O33" s="73" t="n">
        <f aca="false">IF(O31&gt;0,(O31-'2024'!O29)/'2024'!O29,"")</f>
        <v>0.01533962453</v>
      </c>
      <c r="P33" s="73" t="n">
        <f aca="false">IF(P31&gt;0,(P31-'2023'!P31)/'2023'!P31,"")</f>
        <v>-0.05751714924</v>
      </c>
      <c r="Q33" s="73" t="n">
        <f aca="false">IF(Q31&gt;0,(Q31-'2022'!Q41)/'2022'!Q41,"")</f>
        <v>0.05813676436</v>
      </c>
    </row>
    <row r="34" customFormat="false" ht="15.75" hidden="false" customHeight="false" outlineLevel="0" collapsed="false">
      <c r="B34" s="2" t="s">
        <v>47</v>
      </c>
      <c r="C34" s="79" t="n">
        <f aca="false">IF(C28&gt;0,MAX(0,(C31-C28)/C31),"")</f>
        <v>0.513425689196019</v>
      </c>
      <c r="D34" s="79" t="n">
        <f aca="false">IF(D28&gt;0,MAX(0,(D31-D28)/D31),"")</f>
        <v>0.803196564885496</v>
      </c>
      <c r="E34" s="79" t="n">
        <f aca="false">IF(E28&gt;0,MAX(0,(E31-E28)/E31),"")</f>
        <v>0.86714757449485</v>
      </c>
      <c r="F34" s="79" t="n">
        <f aca="false">IF(F28&gt;0,MAX(0,(F31-F28)/F31),"")</f>
        <v>0.609115159770702</v>
      </c>
      <c r="G34" s="79" t="n">
        <f aca="false">IF(G28&gt;0,MAX(0,(G31-G28)/G31),"")</f>
        <v>0.679383626097867</v>
      </c>
      <c r="H34" s="79" t="n">
        <f aca="false">IF(H28&gt;0,MAX(0,(H31-H28)/H31),"")</f>
        <v>0.469368201544271</v>
      </c>
      <c r="I34" s="79" t="n">
        <f aca="false">IF(I28&gt;0,MAX(0,(I31-I28)/I31),"")</f>
        <v>0.123940677966102</v>
      </c>
      <c r="J34" s="79" t="n">
        <f aca="false">IF(J28&gt;0,MAX(0,(J31-J28)/J31),"")</f>
        <v>0.535688536409517</v>
      </c>
      <c r="K34" s="79" t="n">
        <f aca="false">IF(K28&gt;0,MAX(0,(K31-K28)/K31),"")</f>
        <v>0</v>
      </c>
      <c r="L34" s="79" t="n">
        <f aca="false">IF(L28&gt;0,MAX(0,(L31-L28)/L31),"")</f>
        <v>0</v>
      </c>
      <c r="M34" s="79" t="n">
        <f aca="false">IF(M28&gt;0,MAX(0,(M31-M28)/M31),"")</f>
        <v>0.476181032089167</v>
      </c>
      <c r="N34" s="79" t="n">
        <f aca="false">IF(N28&gt;0,MAX(0,(N31-N28)/N31),"")</f>
        <v>0.332988391973365</v>
      </c>
      <c r="O34" s="79" t="n">
        <f aca="false">IF(O28&gt;0,MAX(0,(O31-O28)/O31),"")</f>
        <v>0.495360145280912</v>
      </c>
      <c r="P34" s="79" t="n">
        <f aca="false">AVERAGE(C34:N34)</f>
        <v>0.4508696212</v>
      </c>
      <c r="Q34" s="79" t="n">
        <f aca="false">MEDIAN(C34:N34)</f>
        <v>0.4948033606</v>
      </c>
    </row>
    <row r="35" customFormat="false" ht="15.75" hidden="false" customHeight="false" outlineLevel="0" collapsed="false">
      <c r="B35" s="69" t="s">
        <v>44</v>
      </c>
      <c r="C35" s="78" t="n">
        <f aca="false">(C34-'2024'!N32)/'2024'!N32</f>
        <v>0.7201766904</v>
      </c>
      <c r="D35" s="78" t="n">
        <f aca="false">IF(ISBLANK(D28),"",IF(C34=0,100,(D34-C34)/C34))</f>
        <v>0.564387177710631</v>
      </c>
      <c r="E35" s="78" t="n">
        <f aca="false">IF(ISBLANK(E28),"",IF(D34=0,100,(E34-D34)/D34))</f>
        <v>0.0796206214084979</v>
      </c>
      <c r="F35" s="78" t="n">
        <f aca="false">IF(ISBLANK(F28),"",IF(E34=0,100,(F34-E34)/E34))</f>
        <v>-0.297564592594822</v>
      </c>
      <c r="G35" s="78" t="n">
        <f aca="false">IF(ISBLANK(G28),"",IF(F34=0,100,(G34-F34)/F34))</f>
        <v>0.115361545678188</v>
      </c>
      <c r="H35" s="78" t="n">
        <f aca="false">IF(ISBLANK(H28),"",IF(G34=0,100,(H34-G34)/G34))</f>
        <v>-0.309126414717776</v>
      </c>
      <c r="I35" s="78" t="n">
        <f aca="false">IF(ISBLANK(I28),"",IF(H34=0,100,(I34-H34)/H34))</f>
        <v>-0.735941468641626</v>
      </c>
      <c r="J35" s="78" t="n">
        <f aca="false">IF(ISBLANK(J28),"",IF(I34=0,100,(J34-I34)/I34))</f>
        <v>3.32213656726995</v>
      </c>
      <c r="K35" s="78" t="n">
        <f aca="false">IF(ISBLANK(K28),"",IF(J34=0,100,(K34-J34)/J34))</f>
        <v>-1</v>
      </c>
      <c r="L35" s="78" t="n">
        <f aca="false">IF(ISBLANK(L28),"",IF(K34=0,100,(L34-K34)/K34))</f>
        <v>100</v>
      </c>
      <c r="M35" s="80" t="n">
        <f aca="false">IF(ISBLANK(M28),"",IF(L34=0,100,(M34-L34)/L34))</f>
        <v>100</v>
      </c>
      <c r="N35" s="78" t="n">
        <f aca="false">IF(ISBLANK(N28),"",IF(M34=0,100,(N34-M34)/M34))</f>
        <v>-0.300710508118243</v>
      </c>
      <c r="O35" s="73" t="s">
        <v>42</v>
      </c>
      <c r="P35" s="73" t="s">
        <v>42</v>
      </c>
      <c r="Q35" s="73" t="s">
        <v>42</v>
      </c>
    </row>
    <row r="36" customFormat="false" ht="15.75" hidden="false" customHeight="false" outlineLevel="0" collapsed="false">
      <c r="B36" s="69" t="s">
        <v>45</v>
      </c>
      <c r="C36" s="78" t="n">
        <f aca="false">IF(ISBLANK(C28),"",IF('2024'!C32=0,100,(C34-'2024'!C32)/'2024'!C32))</f>
        <v>0.04791010245</v>
      </c>
      <c r="D36" s="78" t="n">
        <f aca="false">IF(ISBLANK(D28),"",IF('2024'!D32=0,100,(D34-'2024'!D32)/'2024'!D32))</f>
        <v>-0.07418942225</v>
      </c>
      <c r="E36" s="78" t="n">
        <f aca="false">IF(ISBLANK(E28),"",IF('2024'!E32=0,100,(E34-'2024'!E32)/'2024'!E32))</f>
        <v>0.02017239998</v>
      </c>
      <c r="F36" s="78" t="n">
        <f aca="false">IF(ISBLANK(F28),"",IF('2024'!F32=0,100,(F34-'2024'!F32)/'2024'!F32))</f>
        <v>1.190518971</v>
      </c>
      <c r="G36" s="78" t="n">
        <f aca="false">IF(ISBLANK(G28),"",IF('2024'!G32=0,100,(G34-'2024'!G32)/'2024'!G32))</f>
        <v>0.30399919</v>
      </c>
      <c r="H36" s="78" t="n">
        <f aca="false">IF(ISBLANK(H28),"",IF('2024'!H32=0,100,(H34-'2024'!H32)/'2024'!H32))</f>
        <v>0.08234137138</v>
      </c>
      <c r="I36" s="78" t="n">
        <f aca="false">IF(ISBLANK(I28),"",IF('2024'!I32=0,100,(I34-'2024'!I32)/'2024'!I32))</f>
        <v>100</v>
      </c>
      <c r="J36" s="78" t="n">
        <f aca="false">IF(ISBLANK(J28),"",IF('2024'!J32=0,100,(J34-'2024'!J32)/'2024'!J32))</f>
        <v>-0.05457743205</v>
      </c>
      <c r="K36" s="78" t="n">
        <f aca="false">IF(ISBLANK(K28),"",IF('2024'!K32=0,100,(K34-'2024'!K32)/'2024'!K32))</f>
        <v>-1</v>
      </c>
      <c r="L36" s="78" t="n">
        <f aca="false">IF(ISBLANK(L28),"",IF('2024'!L32=0,100,(L34-'2024'!L32)/'2024'!L32))</f>
        <v>-1</v>
      </c>
      <c r="M36" s="78" t="n">
        <f aca="false">IF(ISBLANK(M28),"",IF('2024'!M32=0,100,(M34-'2024'!M32)/'2024'!M32))</f>
        <v>-0.05676198599</v>
      </c>
      <c r="N36" s="78" t="n">
        <f aca="false">IF(ISBLANK(N28),"",IF('2024'!N32=0,100,(N34-'2024'!N32)/'2024'!N32))</f>
        <v>0.1156412351</v>
      </c>
      <c r="O36" s="78" t="n">
        <f aca="false">IF(ISBLANK(O28),"",IF('2024'!O32=0,100,(O34-'2024'!O32)/'2024'!O32))</f>
        <v>0.03505311935</v>
      </c>
      <c r="P36" s="78" t="n">
        <f aca="false">IF(ISBLANK(P28),"",IF('2023'!P34=0,100,(P34-'2023'!P34)/'2023'!P34))</f>
        <v>-0.09708278546</v>
      </c>
      <c r="Q36" s="78" t="n">
        <f aca="false">IF(ISBLANK(Q28),"",IF('2022'!Q44=0,100,(Q34-'2022'!Q44)/'2022'!Q44))</f>
        <v>0.003449240438</v>
      </c>
    </row>
    <row r="37" customFormat="false" ht="22.05" hidden="false" customHeight="false" outlineLevel="0" collapsed="false">
      <c r="B37" s="81" t="s">
        <v>48</v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</row>
    <row r="38" customFormat="false" ht="15.75" hidden="false" customHeight="false" outlineLevel="0" collapsed="false">
      <c r="B38" s="1"/>
      <c r="C38" s="65" t="s">
        <v>27</v>
      </c>
      <c r="D38" s="65" t="s">
        <v>28</v>
      </c>
      <c r="E38" s="65" t="s">
        <v>29</v>
      </c>
      <c r="F38" s="65" t="s">
        <v>30</v>
      </c>
      <c r="G38" s="65" t="s">
        <v>31</v>
      </c>
      <c r="H38" s="65" t="s">
        <v>32</v>
      </c>
      <c r="I38" s="65" t="s">
        <v>33</v>
      </c>
      <c r="J38" s="65" t="s">
        <v>34</v>
      </c>
      <c r="K38" s="65" t="s">
        <v>35</v>
      </c>
      <c r="L38" s="65" t="s">
        <v>36</v>
      </c>
      <c r="M38" s="65" t="s">
        <v>37</v>
      </c>
      <c r="N38" s="65" t="s">
        <v>38</v>
      </c>
      <c r="O38" s="65" t="s">
        <v>39</v>
      </c>
      <c r="P38" s="66" t="s">
        <v>40</v>
      </c>
      <c r="Q38" s="66" t="s">
        <v>41</v>
      </c>
    </row>
    <row r="39" customFormat="false" ht="15.75" hidden="false" customHeight="false" outlineLevel="0" collapsed="false">
      <c r="B39" s="2" t="s">
        <v>73</v>
      </c>
      <c r="C39" s="2" t="n">
        <v>6092</v>
      </c>
      <c r="D39" s="2" t="n">
        <v>6624</v>
      </c>
      <c r="E39" s="2" t="n">
        <v>7133</v>
      </c>
      <c r="F39" s="2" t="n">
        <v>7556.56</v>
      </c>
      <c r="G39" s="2" t="n">
        <v>7993.13</v>
      </c>
      <c r="H39" s="2" t="n">
        <v>8369.79</v>
      </c>
      <c r="I39" s="2" t="n">
        <v>8771.43</v>
      </c>
      <c r="J39" s="2" t="n">
        <v>9151.8</v>
      </c>
      <c r="K39" s="82" t="n">
        <f aca="false">J39+400</f>
        <v>9551.8</v>
      </c>
      <c r="O39" s="83" t="s">
        <v>42</v>
      </c>
      <c r="P39" s="83" t="s">
        <v>42</v>
      </c>
      <c r="Q39" s="83" t="s">
        <v>42</v>
      </c>
    </row>
    <row r="40" customFormat="false" ht="15.75" hidden="false" customHeight="false" outlineLevel="0" collapsed="false">
      <c r="B40" s="2" t="s">
        <v>49</v>
      </c>
      <c r="C40" s="2"/>
      <c r="D40" s="2"/>
      <c r="E40" s="2"/>
      <c r="F40" s="2"/>
      <c r="G40" s="2"/>
      <c r="H40" s="2"/>
      <c r="I40" s="2"/>
      <c r="J40" s="2"/>
      <c r="K40" s="2" t="n">
        <v>69261</v>
      </c>
      <c r="L40" s="2" t="n">
        <v>70701</v>
      </c>
      <c r="M40" s="2" t="n">
        <v>71987</v>
      </c>
      <c r="N40" s="2" t="n">
        <v>73668</v>
      </c>
      <c r="O40" s="83"/>
      <c r="P40" s="83"/>
      <c r="Q40" s="83"/>
    </row>
    <row r="41" customFormat="false" ht="15.75" hidden="false" customHeight="false" outlineLevel="0" collapsed="false">
      <c r="B41" s="69" t="s">
        <v>50</v>
      </c>
      <c r="C41" s="80" t="n">
        <f aca="false">C39-'2024'!N38</f>
        <v>492</v>
      </c>
      <c r="D41" s="80" t="n">
        <f aca="false">D39-C39</f>
        <v>532</v>
      </c>
      <c r="E41" s="80" t="n">
        <f aca="false">E39-D39</f>
        <v>509</v>
      </c>
      <c r="F41" s="80" t="n">
        <f aca="false">F39-E39</f>
        <v>423.56</v>
      </c>
      <c r="G41" s="80" t="n">
        <f aca="false">G39-F39</f>
        <v>436.57</v>
      </c>
      <c r="H41" s="80" t="n">
        <f aca="false">H39-G39</f>
        <v>376.660000000001</v>
      </c>
      <c r="I41" s="80" t="n">
        <f aca="false">I39-H39</f>
        <v>401.639999999999</v>
      </c>
      <c r="J41" s="80" t="n">
        <f aca="false">J39-I39</f>
        <v>380.369999999999</v>
      </c>
      <c r="K41" s="80" t="n">
        <f aca="false">K39-J39</f>
        <v>400</v>
      </c>
      <c r="L41" s="80" t="n">
        <f aca="false">L40-K40</f>
        <v>1440</v>
      </c>
      <c r="M41" s="80" t="n">
        <f aca="false">M40-L40</f>
        <v>1286</v>
      </c>
      <c r="N41" s="80" t="n">
        <f aca="false">N40-M40</f>
        <v>1681</v>
      </c>
      <c r="O41" s="80" t="n">
        <f aca="false">SUM(C41:N41)</f>
        <v>8358.8</v>
      </c>
      <c r="P41" s="80" t="n">
        <f aca="false">AVERAGE(C41:N41)</f>
        <v>696.5666667</v>
      </c>
      <c r="Q41" s="80" t="n">
        <f aca="false">MEDIAN(C41:N41)</f>
        <v>464.285</v>
      </c>
    </row>
    <row r="42" customFormat="false" ht="15.75" hidden="false" customHeight="false" outlineLevel="0" collapsed="false">
      <c r="B42" s="69" t="s">
        <v>44</v>
      </c>
      <c r="C42" s="78" t="n">
        <f aca="false">(C41-'2024'!N39)/'2024'!N39</f>
        <v>0.1415313225</v>
      </c>
      <c r="D42" s="78" t="n">
        <f aca="false">(D41-C41)/C41</f>
        <v>0.0813008130081301</v>
      </c>
      <c r="E42" s="78" t="n">
        <f aca="false">(E41-D41)/D41</f>
        <v>-0.0432330827067669</v>
      </c>
      <c r="F42" s="78" t="n">
        <f aca="false">(F41-E41)/E41</f>
        <v>-0.167858546168958</v>
      </c>
      <c r="G42" s="78" t="n">
        <f aca="false">(G41-F41)/F41</f>
        <v>0.0307158371895347</v>
      </c>
      <c r="H42" s="78" t="n">
        <f aca="false">(H41-G41)/G41</f>
        <v>-0.13722885218865</v>
      </c>
      <c r="I42" s="78" t="n">
        <f aca="false">(I41-H41)/H41</f>
        <v>0.066319757871817</v>
      </c>
      <c r="J42" s="78" t="n">
        <f aca="false">(J41-I41)/I41</f>
        <v>-0.0529578727218416</v>
      </c>
      <c r="K42" s="78" t="n">
        <f aca="false">(K41-J41)/J41</f>
        <v>0.0516076451875833</v>
      </c>
      <c r="L42" s="78" t="n">
        <f aca="false">(L41-K41)/K41</f>
        <v>2.6</v>
      </c>
      <c r="M42" s="78" t="n">
        <f aca="false">(M41-L41)/L41</f>
        <v>-0.106944444444444</v>
      </c>
      <c r="N42" s="78" t="n">
        <f aca="false">(N41-M41)/M41</f>
        <v>0.307153965785381</v>
      </c>
      <c r="O42" s="80"/>
      <c r="P42" s="80"/>
      <c r="Q42" s="80"/>
    </row>
    <row r="43" customFormat="false" ht="15.75" hidden="false" customHeight="false" outlineLevel="0" collapsed="false">
      <c r="B43" s="69" t="s">
        <v>45</v>
      </c>
      <c r="C43" s="78" t="n">
        <f aca="false">(C41-'2024'!C39)/'2024'!C39</f>
        <v>0.3458434773</v>
      </c>
      <c r="D43" s="78" t="n">
        <f aca="false">(D41-'2024'!D39)/'2024'!D39</f>
        <v>0.5243553009</v>
      </c>
      <c r="E43" s="78" t="n">
        <f aca="false">(E41-'2024'!E39)/'2024'!E39</f>
        <v>0.4217877095</v>
      </c>
      <c r="F43" s="78" t="n">
        <f aca="false">(F41-'2024'!F39)/'2024'!F39</f>
        <v>0.2328559786</v>
      </c>
      <c r="G43" s="78" t="n">
        <f aca="false">(G41-'2024'!G39)/'2024'!G39</f>
        <v>0.3353214657</v>
      </c>
      <c r="H43" s="78" t="n">
        <f aca="false">(H41-'2024'!H39)/'2024'!H39</f>
        <v>0.1343813998</v>
      </c>
      <c r="I43" s="78" t="n">
        <f aca="false">(I41-'2024'!I39)/'2024'!I39</f>
        <v>-0.06477902482</v>
      </c>
      <c r="J43" s="78" t="n">
        <f aca="false">(J41-'2024'!J39)/'2024'!J39</f>
        <v>-0.1112850467</v>
      </c>
      <c r="K43" s="78" t="n">
        <f aca="false">(K41-'2024'!K39)/'2024'!K39</f>
        <v>0.1461318052</v>
      </c>
      <c r="L43" s="78" t="n">
        <f aca="false">(L41-'2024'!L39)/'2024'!L39</f>
        <v>3.033613445</v>
      </c>
      <c r="M43" s="78" t="n">
        <f aca="false">(M41-'2024'!M39)/'2024'!M39</f>
        <v>2.322997416</v>
      </c>
      <c r="N43" s="78" t="n">
        <f aca="false">(N41-'2024'!N39)/'2024'!N39</f>
        <v>2.900232019</v>
      </c>
      <c r="O43" s="80"/>
      <c r="P43" s="80"/>
      <c r="Q43" s="80"/>
    </row>
    <row r="44" customFormat="false" ht="15.75" hidden="false" customHeight="false" outlineLevel="0" collapsed="false">
      <c r="B44" s="2" t="s">
        <v>74</v>
      </c>
      <c r="C44" s="2" t="n">
        <v>90289</v>
      </c>
      <c r="D44" s="2" t="n">
        <v>91255</v>
      </c>
      <c r="E44" s="2" t="n">
        <v>92407</v>
      </c>
      <c r="F44" s="2" t="n">
        <v>92891</v>
      </c>
      <c r="G44" s="2" t="n">
        <v>92891</v>
      </c>
      <c r="H44" s="2" t="n">
        <v>92891</v>
      </c>
      <c r="I44" s="2" t="n">
        <v>92891</v>
      </c>
      <c r="J44" s="2" t="n">
        <v>92891</v>
      </c>
      <c r="K44" s="2" t="n">
        <v>92891</v>
      </c>
      <c r="L44" s="2" t="n">
        <v>92891</v>
      </c>
      <c r="M44" s="2" t="n">
        <v>92891</v>
      </c>
      <c r="N44" s="2" t="n">
        <v>92891</v>
      </c>
    </row>
    <row r="45" customFormat="false" ht="15.75" hidden="false" customHeight="false" outlineLevel="0" collapsed="false">
      <c r="B45" s="69" t="s">
        <v>75</v>
      </c>
      <c r="C45" s="80" t="n">
        <f aca="false">C44-'2024'!N42</f>
        <v>1359</v>
      </c>
      <c r="D45" s="80" t="n">
        <f aca="false">D44-C44</f>
        <v>966</v>
      </c>
      <c r="E45" s="80" t="n">
        <f aca="false">E44-D44</f>
        <v>1152</v>
      </c>
      <c r="F45" s="80" t="n">
        <f aca="false">F44-E44</f>
        <v>484</v>
      </c>
      <c r="G45" s="80" t="n">
        <f aca="false">G44-F44</f>
        <v>0</v>
      </c>
      <c r="H45" s="75" t="n">
        <v>0</v>
      </c>
      <c r="I45" s="75" t="n">
        <v>0</v>
      </c>
      <c r="J45" s="75" t="n">
        <v>0</v>
      </c>
      <c r="K45" s="75" t="n">
        <v>0</v>
      </c>
      <c r="L45" s="75" t="n">
        <v>0</v>
      </c>
      <c r="M45" s="75" t="n">
        <v>0</v>
      </c>
      <c r="N45" s="75" t="n">
        <v>0</v>
      </c>
      <c r="O45" s="80" t="n">
        <f aca="false">SUM(C45:N45)</f>
        <v>3961</v>
      </c>
      <c r="P45" s="80" t="n">
        <f aca="false">AVERAGE(C45:N45)</f>
        <v>330.0833333</v>
      </c>
      <c r="Q45" s="80" t="n">
        <f aca="false">MEDIAN(C45:N45)</f>
        <v>0</v>
      </c>
    </row>
    <row r="46" customFormat="false" ht="15.75" hidden="false" customHeight="false" outlineLevel="0" collapsed="false">
      <c r="B46" s="69" t="s">
        <v>44</v>
      </c>
      <c r="C46" s="76" t="n">
        <f aca="false">(C45-'2024'!N43)/'2024'!N43</f>
        <v>-0.2308998302</v>
      </c>
      <c r="D46" s="76" t="n">
        <f aca="false">(D45-C45)/C45</f>
        <v>-0.289183222958057</v>
      </c>
      <c r="E46" s="76" t="n">
        <f aca="false">(E45-D45)/D45</f>
        <v>0.192546583850932</v>
      </c>
      <c r="F46" s="76" t="n">
        <f aca="false">(F45-E45)/E45</f>
        <v>-0.579861111111111</v>
      </c>
      <c r="G46" s="76" t="n">
        <f aca="false">(G45-F45)/F45</f>
        <v>-1</v>
      </c>
      <c r="H46" s="76" t="n">
        <v>0</v>
      </c>
      <c r="I46" s="76" t="n">
        <v>0</v>
      </c>
      <c r="J46" s="76" t="n">
        <v>0</v>
      </c>
      <c r="K46" s="76" t="n">
        <v>0</v>
      </c>
      <c r="L46" s="76" t="n">
        <v>0</v>
      </c>
      <c r="M46" s="76" t="n">
        <v>0</v>
      </c>
      <c r="N46" s="76" t="n">
        <v>0</v>
      </c>
      <c r="O46" s="80"/>
      <c r="P46" s="80"/>
      <c r="Q46" s="80"/>
    </row>
    <row r="47" customFormat="false" ht="15.75" hidden="false" customHeight="false" outlineLevel="0" collapsed="false">
      <c r="B47" s="69" t="s">
        <v>45</v>
      </c>
      <c r="C47" s="76" t="n">
        <f aca="false">(C45-'2024'!C43)/'2024'!C43</f>
        <v>0.04297774367</v>
      </c>
      <c r="D47" s="76" t="n">
        <f aca="false">(D45-'2024'!D43)/'2024'!D43</f>
        <v>-0.034</v>
      </c>
      <c r="E47" s="76" t="n">
        <f aca="false">(E45-'2024'!E43)/'2024'!E43</f>
        <v>0.8610662359</v>
      </c>
      <c r="F47" s="76" t="n">
        <f aca="false">(F45-'2024'!F43)/'2024'!F43</f>
        <v>0.2442159383</v>
      </c>
      <c r="G47" s="76" t="n">
        <f aca="false">(G45-'2024'!G43)/'2024'!G43</f>
        <v>-1</v>
      </c>
      <c r="H47" s="76" t="n">
        <v>0</v>
      </c>
      <c r="I47" s="76" t="n">
        <v>0</v>
      </c>
      <c r="J47" s="76" t="n">
        <v>0</v>
      </c>
      <c r="K47" s="76" t="n">
        <v>0</v>
      </c>
      <c r="L47" s="76" t="n">
        <v>0</v>
      </c>
      <c r="M47" s="76" t="n">
        <v>0</v>
      </c>
      <c r="N47" s="76" t="n">
        <v>0</v>
      </c>
      <c r="O47" s="76" t="n">
        <f aca="false">(O45-'2024'!O43)/'2024'!O43</f>
        <v>-0.3259019741</v>
      </c>
      <c r="P47" s="76" t="n">
        <f aca="false">(P45-'2024'!P43)/'2024'!P43</f>
        <v>-0.3259019741</v>
      </c>
      <c r="Q47" s="76" t="n">
        <f aca="false">(Q45-'2024'!Q43)/'2024'!Q43</f>
        <v>-1</v>
      </c>
    </row>
    <row r="48" customFormat="false" ht="15.75" hidden="false" customHeight="false" outlineLevel="0" collapsed="false">
      <c r="B48" s="2" t="s">
        <v>76</v>
      </c>
      <c r="C48" s="2" t="n">
        <v>408.931</v>
      </c>
      <c r="D48" s="2" t="n">
        <v>413.583</v>
      </c>
      <c r="E48" s="2" t="n">
        <v>421.927</v>
      </c>
      <c r="F48" s="2" t="n">
        <v>429.242</v>
      </c>
      <c r="G48" s="2" t="n">
        <v>437.163</v>
      </c>
      <c r="H48" s="2" t="n">
        <v>444.948</v>
      </c>
      <c r="I48" s="2" t="n">
        <v>453.589</v>
      </c>
      <c r="J48" s="2" t="n">
        <v>462.011</v>
      </c>
      <c r="K48" s="82" t="n">
        <f aca="false">J48+8</f>
        <v>470.011</v>
      </c>
    </row>
    <row r="49" customFormat="false" ht="15.75" hidden="false" customHeight="false" outlineLevel="0" collapsed="false">
      <c r="B49" s="2" t="s">
        <v>51</v>
      </c>
      <c r="C49" s="2"/>
      <c r="D49" s="2"/>
      <c r="E49" s="2"/>
      <c r="F49" s="2"/>
      <c r="G49" s="2"/>
      <c r="H49" s="2"/>
      <c r="I49" s="2"/>
      <c r="J49" s="2"/>
      <c r="K49" s="2" t="n">
        <v>1209.2</v>
      </c>
      <c r="L49" s="2" t="n">
        <v>1221.047</v>
      </c>
      <c r="M49" s="2" t="n">
        <v>1230.795</v>
      </c>
      <c r="N49" s="2" t="n">
        <v>1240.418</v>
      </c>
    </row>
    <row r="50" customFormat="false" ht="15.75" hidden="false" customHeight="false" outlineLevel="0" collapsed="false">
      <c r="B50" s="69" t="s">
        <v>52</v>
      </c>
      <c r="C50" s="84" t="n">
        <f aca="false">C48-'2024'!N46</f>
        <v>8.15</v>
      </c>
      <c r="D50" s="80" t="n">
        <f aca="false">D48-C48</f>
        <v>4.65200000000004</v>
      </c>
      <c r="E50" s="80" t="n">
        <f aca="false">E48-D48</f>
        <v>8.34399999999999</v>
      </c>
      <c r="F50" s="80" t="n">
        <f aca="false">F48-E48</f>
        <v>7.315</v>
      </c>
      <c r="G50" s="80" t="n">
        <f aca="false">G48-F48</f>
        <v>7.92099999999999</v>
      </c>
      <c r="H50" s="80" t="n">
        <f aca="false">H48-G48</f>
        <v>7.78499999999997</v>
      </c>
      <c r="I50" s="80" t="n">
        <f aca="false">I48-H48</f>
        <v>8.64100000000002</v>
      </c>
      <c r="J50" s="80" t="n">
        <f aca="false">J48-I48</f>
        <v>8.42200000000003</v>
      </c>
      <c r="K50" s="80" t="n">
        <f aca="false">K48-J48</f>
        <v>8</v>
      </c>
      <c r="L50" s="80" t="n">
        <f aca="false">L49-K49</f>
        <v>11.847</v>
      </c>
      <c r="M50" s="80" t="n">
        <f aca="false">M49-L49</f>
        <v>9.74800000000005</v>
      </c>
      <c r="N50" s="80" t="n">
        <f aca="false">N49-M49</f>
        <v>9.62299999999982</v>
      </c>
      <c r="O50" s="80" t="n">
        <f aca="false">SUM(C50:N50)</f>
        <v>100.448</v>
      </c>
      <c r="P50" s="80" t="n">
        <f aca="false">AVERAGE(C50:N50)</f>
        <v>8.370666667</v>
      </c>
      <c r="Q50" s="80" t="n">
        <f aca="false">MEDIAN(C50:N50)</f>
        <v>8.247</v>
      </c>
    </row>
    <row r="51" customFormat="false" ht="15.75" hidden="false" customHeight="false" outlineLevel="0" collapsed="false">
      <c r="B51" s="69" t="s">
        <v>44</v>
      </c>
      <c r="C51" s="73" t="n">
        <f aca="false">(C50-'2024'!N47)/'2024'!N47</f>
        <v>0.00953796606</v>
      </c>
      <c r="D51" s="73" t="n">
        <f aca="false">(D50-C50)/C50</f>
        <v>-0.429202453987725</v>
      </c>
      <c r="E51" s="73" t="n">
        <f aca="false">(E50-D50)/D50</f>
        <v>0.793637145313826</v>
      </c>
      <c r="F51" s="73" t="n">
        <f aca="false">(F50-E50)/E50</f>
        <v>-0.123322147651006</v>
      </c>
      <c r="G51" s="73" t="n">
        <f aca="false">(G50-F50)/F50</f>
        <v>0.0828434723171558</v>
      </c>
      <c r="H51" s="73" t="n">
        <f aca="false">(H50-G50)/G50</f>
        <v>-0.017169549299334</v>
      </c>
      <c r="I51" s="73" t="n">
        <f aca="false">(I50-H50)/H50</f>
        <v>0.109955041746956</v>
      </c>
      <c r="J51" s="73" t="n">
        <f aca="false">(J50-I50)/I50</f>
        <v>-0.0253442888554558</v>
      </c>
      <c r="K51" s="73" t="n">
        <f aca="false">(K50-J50)/J50</f>
        <v>-0.0501068629779179</v>
      </c>
      <c r="L51" s="73" t="n">
        <f aca="false">(L50-K50)/K50</f>
        <v>0.480874999999998</v>
      </c>
      <c r="M51" s="73" t="n">
        <f aca="false">(M50-L50)/L50</f>
        <v>-0.177175656284286</v>
      </c>
      <c r="N51" s="73" t="n">
        <f aca="false">(N50-M50)/M50</f>
        <v>-0.0128231432088866</v>
      </c>
      <c r="O51" s="80"/>
      <c r="P51" s="80"/>
      <c r="Q51" s="80"/>
    </row>
    <row r="52" customFormat="false" ht="15.75" hidden="false" customHeight="false" outlineLevel="0" collapsed="false">
      <c r="B52" s="69" t="s">
        <v>45</v>
      </c>
      <c r="C52" s="76" t="n">
        <f aca="false">(C50-'2024'!C47)/'2024'!C47</f>
        <v>-0.2473217584</v>
      </c>
      <c r="D52" s="76" t="n">
        <f aca="false">(D50-'2024'!D47)/'2024'!D47</f>
        <v>-0.5473827593</v>
      </c>
      <c r="E52" s="76" t="n">
        <f aca="false">(E50-'2024'!E47)/'2024'!E47</f>
        <v>-0.1611541168</v>
      </c>
      <c r="F52" s="76" t="n">
        <f aca="false">(F50-'2024'!F47)/'2024'!F47</f>
        <v>-0.298993771</v>
      </c>
      <c r="G52" s="76" t="n">
        <f aca="false">(G50-'2024'!G47)/'2024'!G47</f>
        <v>-0.1586829527</v>
      </c>
      <c r="H52" s="76" t="n">
        <f aca="false">(H50-'2024'!H47)/'2024'!H47</f>
        <v>-0.245858762</v>
      </c>
      <c r="I52" s="76" t="n">
        <f aca="false">(I50-'2024'!I47)/'2024'!I47</f>
        <v>-0.2761769141</v>
      </c>
      <c r="J52" s="76" t="n">
        <f aca="false">(J50-'2024'!J47)/'2024'!J47</f>
        <v>-0.02793167128</v>
      </c>
      <c r="K52" s="76" t="n">
        <f aca="false">(K50-'2024'!K47)/'2024'!K47</f>
        <v>-0.01792290695</v>
      </c>
      <c r="L52" s="76" t="n">
        <f aca="false">(L50-'2024'!L47)/'2024'!L47</f>
        <v>0.4507714916</v>
      </c>
      <c r="M52" s="76" t="n">
        <f aca="false">(M50-'2024'!M47)/'2024'!M47</f>
        <v>0.2904421499</v>
      </c>
      <c r="N52" s="76" t="n">
        <f aca="false">(N50-'2024'!N47)/'2024'!N47</f>
        <v>0.1919980181</v>
      </c>
      <c r="O52" s="80"/>
      <c r="P52" s="80"/>
      <c r="Q52" s="80"/>
    </row>
    <row r="53" customFormat="false" ht="22.05" hidden="false" customHeight="false" outlineLevel="0" collapsed="false">
      <c r="B53" s="85" t="s">
        <v>54</v>
      </c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</row>
    <row r="54" customFormat="false" ht="15.75" hidden="false" customHeight="false" outlineLevel="0" collapsed="false">
      <c r="C54" s="65" t="s">
        <v>27</v>
      </c>
      <c r="D54" s="65" t="s">
        <v>28</v>
      </c>
      <c r="E54" s="65" t="s">
        <v>29</v>
      </c>
      <c r="F54" s="65" t="s">
        <v>30</v>
      </c>
      <c r="G54" s="65" t="s">
        <v>31</v>
      </c>
      <c r="H54" s="65" t="s">
        <v>32</v>
      </c>
      <c r="I54" s="65" t="s">
        <v>33</v>
      </c>
      <c r="J54" s="65" t="s">
        <v>34</v>
      </c>
      <c r="K54" s="65" t="s">
        <v>35</v>
      </c>
      <c r="L54" s="65" t="s">
        <v>36</v>
      </c>
      <c r="M54" s="65" t="s">
        <v>37</v>
      </c>
      <c r="N54" s="65" t="s">
        <v>38</v>
      </c>
      <c r="O54" s="65" t="s">
        <v>39</v>
      </c>
      <c r="P54" s="66" t="s">
        <v>40</v>
      </c>
      <c r="Q54" s="66" t="s">
        <v>41</v>
      </c>
    </row>
    <row r="55" customFormat="false" ht="15.75" hidden="false" customHeight="false" outlineLevel="0" collapsed="false">
      <c r="B55" s="2" t="s">
        <v>55</v>
      </c>
      <c r="C55" s="2" t="n">
        <v>9</v>
      </c>
      <c r="D55" s="2" t="n">
        <v>8</v>
      </c>
      <c r="E55" s="2" t="n">
        <v>18</v>
      </c>
      <c r="F55" s="2" t="n">
        <v>16</v>
      </c>
      <c r="G55" s="2" t="n">
        <v>14</v>
      </c>
      <c r="H55" s="2" t="n">
        <v>12</v>
      </c>
      <c r="I55" s="2" t="n">
        <v>17</v>
      </c>
      <c r="J55" s="2" t="n">
        <v>8</v>
      </c>
      <c r="K55" s="2" t="n">
        <v>9</v>
      </c>
      <c r="L55" s="2" t="n">
        <v>14</v>
      </c>
      <c r="M55" s="2" t="n">
        <v>14</v>
      </c>
      <c r="N55" s="2" t="n">
        <v>17</v>
      </c>
      <c r="O55" s="0" t="n">
        <f aca="false">SUM(C55:N55)</f>
        <v>156</v>
      </c>
      <c r="P55" s="5" t="n">
        <f aca="false">AVERAGE(C55:N55)</f>
        <v>13</v>
      </c>
      <c r="Q55" s="0" t="n">
        <f aca="false">MEDIAN(C55:N55)</f>
        <v>14</v>
      </c>
    </row>
    <row r="56" customFormat="false" ht="15.75" hidden="false" customHeight="false" outlineLevel="0" collapsed="false">
      <c r="B56" s="86" t="s">
        <v>56</v>
      </c>
      <c r="C56" s="83" t="n">
        <f aca="false">C55*4</f>
        <v>36</v>
      </c>
      <c r="D56" s="83" t="n">
        <f aca="false">D55*4</f>
        <v>32</v>
      </c>
      <c r="E56" s="83" t="n">
        <f aca="false">E55*5</f>
        <v>90</v>
      </c>
      <c r="F56" s="83" t="n">
        <f aca="false">F55*5</f>
        <v>80</v>
      </c>
      <c r="G56" s="83" t="n">
        <f aca="false">G55*5</f>
        <v>70</v>
      </c>
      <c r="H56" s="83" t="n">
        <f aca="false">H55*5</f>
        <v>60</v>
      </c>
      <c r="I56" s="83" t="n">
        <f aca="false">I55*5</f>
        <v>85</v>
      </c>
      <c r="J56" s="83" t="n">
        <f aca="false">J55*5</f>
        <v>40</v>
      </c>
      <c r="K56" s="83" t="n">
        <f aca="false">K55*5</f>
        <v>45</v>
      </c>
      <c r="L56" s="83" t="n">
        <f aca="false">L55*5</f>
        <v>70</v>
      </c>
      <c r="M56" s="83" t="n">
        <f aca="false">M55*5</f>
        <v>70</v>
      </c>
      <c r="N56" s="83" t="n">
        <f aca="false">N55*5</f>
        <v>85</v>
      </c>
      <c r="O56" s="83" t="n">
        <f aca="false">SUM(C56:N56)</f>
        <v>763</v>
      </c>
      <c r="P56" s="5" t="n">
        <f aca="false">AVERAGE(C56:N56)</f>
        <v>63.5833333333333</v>
      </c>
      <c r="Q56" s="0" t="n">
        <f aca="false">MEDIAN(C56:N56)</f>
        <v>70</v>
      </c>
    </row>
    <row r="57" customFormat="false" ht="15.75" hidden="false" customHeight="false" outlineLevel="0" collapsed="false">
      <c r="B57" s="69" t="s">
        <v>44</v>
      </c>
      <c r="C57" s="73" t="n">
        <f aca="false">(C56-'2024'!N53)/'2024'!N53</f>
        <v>-0.3076923077</v>
      </c>
      <c r="D57" s="73" t="n">
        <f aca="false">(D56-C56)/C56</f>
        <v>-0.111111111111111</v>
      </c>
      <c r="E57" s="73" t="n">
        <f aca="false">(E56-D56)/D56</f>
        <v>1.8125</v>
      </c>
      <c r="F57" s="73" t="n">
        <f aca="false">(F56-E56)/E56</f>
        <v>-0.111111111111111</v>
      </c>
      <c r="G57" s="73" t="n">
        <f aca="false">(G56-F56)/F56</f>
        <v>-0.125</v>
      </c>
      <c r="H57" s="73" t="n">
        <f aca="false">(H56-G56)/G56</f>
        <v>-0.142857142857143</v>
      </c>
      <c r="I57" s="73" t="n">
        <f aca="false">(I56-H56)/H56</f>
        <v>0.416666666666667</v>
      </c>
      <c r="J57" s="73" t="n">
        <f aca="false">(J56-I56)/I56</f>
        <v>-0.529411764705882</v>
      </c>
      <c r="K57" s="73" t="n">
        <f aca="false">(K56-J56)/J56</f>
        <v>0.125</v>
      </c>
      <c r="L57" s="73" t="n">
        <f aca="false">(L56-K56)/K56</f>
        <v>0.555555555555556</v>
      </c>
      <c r="M57" s="78" t="n">
        <f aca="false">IF(M55&gt;0,(M55-L55)/L55,"")</f>
        <v>0</v>
      </c>
      <c r="N57" s="78" t="n">
        <f aca="false">IF(N55&gt;0,(N55-M55)/M55,"")</f>
        <v>0.214285714285714</v>
      </c>
      <c r="O57" s="73" t="s">
        <v>42</v>
      </c>
      <c r="P57" s="73" t="s">
        <v>42</v>
      </c>
      <c r="Q57" s="73" t="s">
        <v>42</v>
      </c>
    </row>
    <row r="58" customFormat="false" ht="15.75" hidden="false" customHeight="false" outlineLevel="0" collapsed="false">
      <c r="B58" s="69" t="s">
        <v>45</v>
      </c>
      <c r="C58" s="73" t="n">
        <f aca="false">(C56-'2024'!C53)/'2024'!C53</f>
        <v>-0.07692307692</v>
      </c>
      <c r="D58" s="73" t="n">
        <f aca="false">(D56-'2024'!D53)/'2024'!D53</f>
        <v>-0.1111111111</v>
      </c>
      <c r="E58" s="73" t="n">
        <f aca="false">(E56-'2024'!E53)/'2024'!E53</f>
        <v>1.5</v>
      </c>
      <c r="F58" s="73" t="n">
        <f aca="false">(F56-'2024'!F53)/'2024'!F53</f>
        <v>1.285714286</v>
      </c>
      <c r="G58" s="73" t="n">
        <f aca="false">(G56-'2024'!G53)/'2024'!G53</f>
        <v>0.4583333333</v>
      </c>
      <c r="H58" s="73" t="n">
        <f aca="false">(H56-'2024'!H53)/'2024'!H53</f>
        <v>0.5</v>
      </c>
      <c r="I58" s="73" t="n">
        <f aca="false">(I56-'2024'!I53)/'2024'!I53</f>
        <v>1.125</v>
      </c>
      <c r="J58" s="73" t="n">
        <f aca="false">(J56-'2024'!J53)/'2024'!J53</f>
        <v>-0.2</v>
      </c>
      <c r="K58" s="73" t="n">
        <f aca="false">(K56-'2024'!K53)/'2024'!K53</f>
        <v>-0.25</v>
      </c>
      <c r="L58" s="73" t="n">
        <f aca="false">(L56-'2024'!L53)/'2024'!L53</f>
        <v>-0.07894736842</v>
      </c>
      <c r="M58" s="73" t="n">
        <f aca="false">(M56-'2024'!M53)/'2024'!M53</f>
        <v>-0.02777777778</v>
      </c>
      <c r="N58" s="73" t="n">
        <f aca="false">(N56-'2024'!N53)/'2024'!N53</f>
        <v>0.6346153846</v>
      </c>
      <c r="O58" s="73" t="s">
        <v>42</v>
      </c>
      <c r="P58" s="73" t="s">
        <v>42</v>
      </c>
      <c r="Q58" s="73" t="s">
        <v>42</v>
      </c>
    </row>
    <row r="59" customFormat="false" ht="15.75" hidden="false" customHeight="false" outlineLevel="0" collapsed="false">
      <c r="B59" s="2" t="s">
        <v>57</v>
      </c>
      <c r="C59" s="2" t="n">
        <f aca="false">3667*27</f>
        <v>99009</v>
      </c>
      <c r="D59" s="0" t="n">
        <f aca="false">6260*28</f>
        <v>175280</v>
      </c>
      <c r="E59" s="0" t="n">
        <f aca="false">3632*31</f>
        <v>112592</v>
      </c>
      <c r="F59" s="0" t="n">
        <f aca="false">3938*30</f>
        <v>118140</v>
      </c>
      <c r="G59" s="0" t="n">
        <f aca="false">4461*31</f>
        <v>138291</v>
      </c>
      <c r="H59" s="0" t="n">
        <f aca="false">6070*30</f>
        <v>182100</v>
      </c>
      <c r="I59" s="0" t="n">
        <f aca="false">5840*31</f>
        <v>181040</v>
      </c>
      <c r="J59" s="0" t="n">
        <f aca="false">6584*31</f>
        <v>204104</v>
      </c>
      <c r="K59" s="0" t="n">
        <f aca="false">7837*30</f>
        <v>235110</v>
      </c>
      <c r="L59" s="0" t="n">
        <f aca="false">6173*31</f>
        <v>191363</v>
      </c>
      <c r="M59" s="0" t="n">
        <f aca="false">4931*30</f>
        <v>147930</v>
      </c>
      <c r="N59" s="0" t="n">
        <f aca="false">4641*31</f>
        <v>143871</v>
      </c>
      <c r="O59" s="0" t="n">
        <f aca="false">SUM(C59:N59)</f>
        <v>1928830</v>
      </c>
      <c r="P59" s="0" t="n">
        <f aca="false">AVERAGE(C59:N59)</f>
        <v>160735.833333333</v>
      </c>
      <c r="Q59" s="0" t="n">
        <f aca="false">MEDIAN(C59:N59)</f>
        <v>161605</v>
      </c>
    </row>
    <row r="60" customFormat="false" ht="15.75" hidden="false" customHeight="false" outlineLevel="0" collapsed="false">
      <c r="B60" s="2" t="s">
        <v>58</v>
      </c>
      <c r="C60" s="2" t="n">
        <v>201585</v>
      </c>
      <c r="D60" s="2" t="n">
        <v>133902</v>
      </c>
      <c r="E60" s="2" t="n">
        <f aca="false">21500+336761</f>
        <v>358261</v>
      </c>
      <c r="F60" s="2" t="n">
        <f aca="false">343558+4000</f>
        <v>347558</v>
      </c>
      <c r="G60" s="2" t="n">
        <v>409007</v>
      </c>
      <c r="H60" s="2" t="n">
        <f aca="false">9000+336683</f>
        <v>345683</v>
      </c>
      <c r="I60" s="2" t="n">
        <v>338166</v>
      </c>
      <c r="J60" s="2" t="n">
        <v>238484</v>
      </c>
      <c r="K60" s="2" t="n">
        <v>164622</v>
      </c>
      <c r="L60" s="2" t="n">
        <v>184616</v>
      </c>
      <c r="M60" s="2" t="n">
        <v>165890</v>
      </c>
      <c r="N60" s="2" t="n">
        <v>193057</v>
      </c>
      <c r="O60" s="0" t="n">
        <f aca="false">SUM(C60:N60)</f>
        <v>3080831</v>
      </c>
      <c r="P60" s="0" t="n">
        <f aca="false">AVERAGE(C60:N60)</f>
        <v>256735.916666667</v>
      </c>
      <c r="Q60" s="0" t="n">
        <f aca="false">MEDIAN(C60:N60)</f>
        <v>220034.5</v>
      </c>
    </row>
    <row r="61" customFormat="false" ht="15.75" hidden="false" customHeight="false" outlineLevel="0" collapsed="false">
      <c r="B61" s="69" t="s">
        <v>59</v>
      </c>
      <c r="C61" s="87" t="n">
        <f aca="false">SUM(C59:C60)</f>
        <v>300594</v>
      </c>
      <c r="D61" s="87" t="n">
        <f aca="false">SUM(D59:D60)</f>
        <v>309182</v>
      </c>
      <c r="E61" s="87" t="n">
        <f aca="false">SUM(E59:E60)</f>
        <v>470853</v>
      </c>
      <c r="F61" s="87" t="n">
        <f aca="false">SUM(F59:F60)</f>
        <v>465698</v>
      </c>
      <c r="G61" s="87" t="n">
        <f aca="false">SUM(G59:G60)</f>
        <v>547298</v>
      </c>
      <c r="H61" s="87" t="n">
        <f aca="false">SUM(H59:H60)</f>
        <v>527783</v>
      </c>
      <c r="I61" s="87" t="n">
        <f aca="false">SUM(I59:I60)</f>
        <v>519206</v>
      </c>
      <c r="J61" s="87" t="n">
        <f aca="false">SUM(J59:J60)</f>
        <v>442588</v>
      </c>
      <c r="K61" s="87" t="n">
        <f aca="false">SUM(K59:K60)</f>
        <v>399732</v>
      </c>
      <c r="L61" s="87" t="n">
        <f aca="false">SUM(L59:L60)</f>
        <v>375979</v>
      </c>
      <c r="M61" s="87" t="n">
        <f aca="false">SUM(M59:M60)</f>
        <v>313820</v>
      </c>
      <c r="N61" s="87" t="n">
        <f aca="false">SUM(N59:N60)</f>
        <v>336928</v>
      </c>
      <c r="O61" s="87" t="n">
        <f aca="false">SUM(C61:N61)</f>
        <v>5009661</v>
      </c>
      <c r="P61" s="87" t="n">
        <f aca="false">AVERAGE(C61:N61)</f>
        <v>417471.75</v>
      </c>
      <c r="Q61" s="87" t="n">
        <f aca="false">MEDIAN(C61:N61)</f>
        <v>421160</v>
      </c>
    </row>
    <row r="62" customFormat="false" ht="16.5" hidden="false" customHeight="true" outlineLevel="0" collapsed="false">
      <c r="B62" s="69" t="s">
        <v>60</v>
      </c>
      <c r="C62" s="88" t="n">
        <f aca="false">C61/27</f>
        <v>11133.11111</v>
      </c>
      <c r="D62" s="88" t="n">
        <f aca="false">D61/28</f>
        <v>11042.2142857143</v>
      </c>
      <c r="E62" s="88" t="n">
        <f aca="false">E61/28</f>
        <v>16816.1785714286</v>
      </c>
      <c r="F62" s="88" t="n">
        <f aca="false">F61/28</f>
        <v>16632.0714285714</v>
      </c>
      <c r="G62" s="88" t="n">
        <f aca="false">G61/28</f>
        <v>19546.3571428571</v>
      </c>
      <c r="H62" s="88" t="n">
        <f aca="false">H61/28</f>
        <v>18849.3928571429</v>
      </c>
      <c r="I62" s="88" t="n">
        <f aca="false">I61/28</f>
        <v>18543.0714285714</v>
      </c>
      <c r="J62" s="88" t="n">
        <f aca="false">J61/28</f>
        <v>15806.7142857143</v>
      </c>
      <c r="K62" s="88" t="n">
        <f aca="false">K61/28</f>
        <v>14276.1428571429</v>
      </c>
      <c r="L62" s="88" t="n">
        <f aca="false">L61/28</f>
        <v>13427.8214285714</v>
      </c>
      <c r="M62" s="88" t="n">
        <f aca="false">M61/28</f>
        <v>11207.8571428571</v>
      </c>
      <c r="N62" s="88" t="n">
        <f aca="false">N61/28</f>
        <v>12033.1428571429</v>
      </c>
      <c r="O62" s="73" t="s">
        <v>42</v>
      </c>
      <c r="P62" s="89" t="n">
        <f aca="false">AVERAGE(C62:N62)</f>
        <v>14942.8396163095</v>
      </c>
      <c r="Q62" s="89" t="n">
        <f aca="false">MEDIAN(C62:N62)</f>
        <v>15041.4285714286</v>
      </c>
    </row>
    <row r="63" customFormat="false" ht="16.5" hidden="false" customHeight="true" outlineLevel="0" collapsed="false">
      <c r="B63" s="69" t="s">
        <v>44</v>
      </c>
      <c r="C63" s="78" t="n">
        <f aca="false">(C61-'2024'!N58)/'2024'!N58</f>
        <v>-0.2553398106</v>
      </c>
      <c r="D63" s="78" t="n">
        <f aca="false">(D61-C61)/C61</f>
        <v>0.0285700978728784</v>
      </c>
      <c r="E63" s="78" t="n">
        <f aca="false">(E61-D61)/D61</f>
        <v>0.522899133843497</v>
      </c>
      <c r="F63" s="78" t="n">
        <f aca="false">(F61-E61)/E61</f>
        <v>-0.0109482152603891</v>
      </c>
      <c r="G63" s="78" t="n">
        <f aca="false">(G61-F61)/F61</f>
        <v>0.175220851281302</v>
      </c>
      <c r="H63" s="78" t="n">
        <f aca="false">(H61-G61)/G61</f>
        <v>-0.0356569912552211</v>
      </c>
      <c r="I63" s="78" t="n">
        <f aca="false">(I61-H61)/H61</f>
        <v>-0.0162509970953972</v>
      </c>
      <c r="J63" s="78" t="n">
        <f aca="false">(J61-I61)/I61</f>
        <v>-0.147567632115191</v>
      </c>
      <c r="K63" s="78" t="n">
        <f aca="false">(K61-J61)/J61</f>
        <v>-0.0968304608349074</v>
      </c>
      <c r="L63" s="78" t="n">
        <f aca="false">(L61-K61)/K61</f>
        <v>-0.0594223129496763</v>
      </c>
      <c r="M63" s="78" t="n">
        <f aca="false">(M61-L61)/L61</f>
        <v>-0.165325722979209</v>
      </c>
      <c r="N63" s="78" t="n">
        <f aca="false">(N61-M61)/M61</f>
        <v>0.0736345675865146</v>
      </c>
      <c r="O63" s="73" t="s">
        <v>42</v>
      </c>
      <c r="P63" s="73" t="s">
        <v>42</v>
      </c>
      <c r="Q63" s="73" t="s">
        <v>42</v>
      </c>
    </row>
    <row r="64" customFormat="false" ht="15.75" hidden="false" customHeight="false" outlineLevel="0" collapsed="false">
      <c r="B64" s="69" t="s">
        <v>45</v>
      </c>
      <c r="C64" s="73" t="n">
        <f aca="false">(C61-'2024'!C58)/'2024'!C58</f>
        <v>0.7051882779</v>
      </c>
      <c r="D64" s="73" t="n">
        <f aca="false">(D61-'2024'!D58)/'2024'!D58</f>
        <v>1.302688612</v>
      </c>
      <c r="E64" s="73" t="n">
        <f aca="false">(E61-'2024'!E58)/'2024'!E58</f>
        <v>1.847373068</v>
      </c>
      <c r="F64" s="73" t="n">
        <f aca="false">(F61-'2024'!F58)/'2024'!F58</f>
        <v>0.806277199</v>
      </c>
      <c r="G64" s="73" t="n">
        <f aca="false">(G61-'2024'!G58)/'2024'!G58</f>
        <v>0.09750218579</v>
      </c>
      <c r="H64" s="73" t="n">
        <f aca="false">(H61-'2024'!H58)/'2024'!H58</f>
        <v>0.0512851668</v>
      </c>
      <c r="I64" s="73" t="n">
        <f aca="false">(I61-'2024'!I58)/'2024'!I58</f>
        <v>0.2207448997</v>
      </c>
      <c r="J64" s="73" t="n">
        <f aca="false">(J61-'2024'!J58)/'2024'!J58</f>
        <v>0.1465178692</v>
      </c>
      <c r="K64" s="73" t="n">
        <f aca="false">(K61-'2024'!K58)/'2024'!K58</f>
        <v>-0.0196880518</v>
      </c>
      <c r="L64" s="73" t="n">
        <f aca="false">(L61-'2024'!L58)/'2024'!L58</f>
        <v>-0.1440393582</v>
      </c>
      <c r="M64" s="73" t="n">
        <f aca="false">(M61-'2024'!M58)/'2024'!M58</f>
        <v>-0.2172561814</v>
      </c>
      <c r="N64" s="73" t="n">
        <f aca="false">(N61-'2024'!N58)/'2024'!N58</f>
        <v>-0.1653297528</v>
      </c>
      <c r="O64" s="73" t="s">
        <v>42</v>
      </c>
      <c r="P64" s="73" t="s">
        <v>42</v>
      </c>
      <c r="Q64" s="73" t="s">
        <v>42</v>
      </c>
    </row>
    <row r="65" customFormat="false" ht="15.75" hidden="false" customHeight="false" outlineLevel="0" collapsed="false">
      <c r="B65" s="2" t="s">
        <v>77</v>
      </c>
      <c r="C65" s="2" t="n">
        <v>1</v>
      </c>
      <c r="D65" s="2" t="n">
        <v>2</v>
      </c>
      <c r="E65" s="2" t="n">
        <v>5</v>
      </c>
      <c r="F65" s="2" t="n">
        <v>4</v>
      </c>
      <c r="G65" s="2" t="n">
        <v>4</v>
      </c>
      <c r="H65" s="2" t="n">
        <v>2</v>
      </c>
      <c r="I65" s="2" t="n">
        <v>0</v>
      </c>
      <c r="J65" s="2" t="n">
        <v>0</v>
      </c>
      <c r="K65" s="2" t="n">
        <v>3</v>
      </c>
      <c r="L65" s="90" t="n">
        <v>0</v>
      </c>
    </row>
    <row r="66" customFormat="false" ht="15.75" hidden="false" customHeight="false" outlineLevel="0" collapsed="false">
      <c r="B66" s="69" t="s">
        <v>44</v>
      </c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</row>
    <row r="67" customFormat="false" ht="15.75" hidden="false" customHeight="false" outlineLevel="0" collapsed="false">
      <c r="B67" s="69" t="s">
        <v>45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</row>
    <row r="68" customFormat="false" ht="15.75" hidden="false" customHeight="false" outlineLevel="0" collapsed="false">
      <c r="B68" s="2" t="s">
        <v>61</v>
      </c>
      <c r="C68" s="2" t="n">
        <v>4</v>
      </c>
      <c r="D68" s="2" t="n">
        <v>5</v>
      </c>
      <c r="E68" s="2" t="n">
        <v>5</v>
      </c>
      <c r="F68" s="2" t="n">
        <v>7</v>
      </c>
      <c r="G68" s="2" t="n">
        <v>6</v>
      </c>
      <c r="H68" s="2" t="n">
        <v>5</v>
      </c>
      <c r="I68" s="2" t="n">
        <v>10</v>
      </c>
      <c r="J68" s="2" t="n">
        <v>5</v>
      </c>
      <c r="K68" s="2" t="n">
        <v>3</v>
      </c>
      <c r="L68" s="2" t="n">
        <v>3</v>
      </c>
      <c r="M68" s="2" t="n">
        <v>10</v>
      </c>
      <c r="N68" s="2" t="n">
        <v>7</v>
      </c>
    </row>
    <row r="69" customFormat="false" ht="15.75" hidden="false" customHeight="false" outlineLevel="0" collapsed="false">
      <c r="B69" s="69" t="s">
        <v>44</v>
      </c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</row>
    <row r="70" customFormat="false" ht="15.75" hidden="false" customHeight="false" outlineLevel="0" collapsed="false">
      <c r="B70" s="69" t="s">
        <v>45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</row>
    <row r="71" customFormat="false" ht="15.75" hidden="false" customHeight="false" outlineLevel="0" collapsed="false">
      <c r="B71" s="69" t="s">
        <v>78</v>
      </c>
      <c r="C71" s="80" t="n">
        <f aca="false">C65+C68</f>
        <v>5</v>
      </c>
      <c r="D71" s="80" t="n">
        <f aca="false">D65+D68</f>
        <v>7</v>
      </c>
      <c r="E71" s="80" t="n">
        <f aca="false">E65+E68</f>
        <v>10</v>
      </c>
      <c r="F71" s="80" t="n">
        <f aca="false">F65+F68</f>
        <v>11</v>
      </c>
      <c r="G71" s="80" t="n">
        <f aca="false">G65+G68</f>
        <v>10</v>
      </c>
      <c r="H71" s="80" t="n">
        <f aca="false">H65+H68</f>
        <v>7</v>
      </c>
      <c r="I71" s="80" t="n">
        <f aca="false">I65+I68</f>
        <v>10</v>
      </c>
      <c r="J71" s="80" t="n">
        <f aca="false">J65+J68</f>
        <v>5</v>
      </c>
      <c r="K71" s="80" t="n">
        <f aca="false">K65+K68</f>
        <v>6</v>
      </c>
      <c r="L71" s="80" t="n">
        <f aca="false">L65+L68</f>
        <v>3</v>
      </c>
      <c r="M71" s="80" t="n">
        <f aca="false">M65+M68</f>
        <v>10</v>
      </c>
      <c r="N71" s="80" t="n">
        <f aca="false">N65+N68</f>
        <v>7</v>
      </c>
      <c r="O71" s="80" t="n">
        <f aca="false">SUM(C71:N71)</f>
        <v>91</v>
      </c>
      <c r="P71" s="80" t="n">
        <f aca="false">AVERAGE(C71:N71)</f>
        <v>7.583333333</v>
      </c>
      <c r="Q71" s="80" t="n">
        <f aca="false">MEDIAN(C71:N71)</f>
        <v>7</v>
      </c>
    </row>
    <row r="76" customFormat="false" ht="15.75" hidden="false" customHeight="false" outlineLevel="0" collapsed="false">
      <c r="C76" s="77"/>
    </row>
    <row r="79" customFormat="false" ht="15.75" hidden="false" customHeight="false" outlineLevel="0" collapsed="false">
      <c r="B79" s="2" t="s">
        <v>79</v>
      </c>
    </row>
    <row r="80" customFormat="false" ht="15.75" hidden="false" customHeight="false" outlineLevel="0" collapsed="false">
      <c r="A80" s="2" t="n">
        <v>5</v>
      </c>
      <c r="B80" s="2" t="s">
        <v>80</v>
      </c>
      <c r="C80" s="2" t="s">
        <v>81</v>
      </c>
    </row>
    <row r="81" customFormat="false" ht="15.75" hidden="false" customHeight="false" outlineLevel="0" collapsed="false">
      <c r="A81" s="1" t="n">
        <v>6</v>
      </c>
      <c r="B81" s="1" t="s">
        <v>82</v>
      </c>
      <c r="C81" s="1" t="s">
        <v>83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3"/>
      <c r="P81" s="1"/>
      <c r="Q81" s="1"/>
    </row>
  </sheetData>
  <mergeCells count="16">
    <mergeCell ref="D2:F2"/>
    <mergeCell ref="D3:H3"/>
    <mergeCell ref="J3:K3"/>
    <mergeCell ref="D4:F4"/>
    <mergeCell ref="D5:F5"/>
    <mergeCell ref="D6:F6"/>
    <mergeCell ref="D7:F7"/>
    <mergeCell ref="D8:K8"/>
    <mergeCell ref="D9:F9"/>
    <mergeCell ref="D10:F10"/>
    <mergeCell ref="D11:F11"/>
    <mergeCell ref="D12:F12"/>
    <mergeCell ref="D13:F13"/>
    <mergeCell ref="B15:Q15"/>
    <mergeCell ref="B37:Q37"/>
    <mergeCell ref="B53:Q53"/>
  </mergeCells>
  <conditionalFormatting sqref="M3:M7 K4:K7 K9:K13 M9:M13">
    <cfRule type="cellIs" priority="2" operator="lessThan" aboveAverage="0" equalAverage="0" bottom="0" percent="0" rank="0" text="" dxfId="0">
      <formula>0.35</formula>
    </cfRule>
  </conditionalFormatting>
  <conditionalFormatting sqref="M3:M7 K4:K7 K9:K13 M9:M13">
    <cfRule type="cellIs" priority="3" operator="between" aboveAverage="0" equalAverage="0" bottom="0" percent="0" rank="0" text="" dxfId="1">
      <formula>0.36</formula>
      <formula>0.6</formula>
    </cfRule>
  </conditionalFormatting>
  <conditionalFormatting sqref="M3:M7 K4:K7 K9:K13 M9:M13">
    <cfRule type="cellIs" priority="4" operator="between" aboveAverage="0" equalAverage="0" bottom="0" percent="0" rank="0" text="" dxfId="2">
      <formula>0.6</formula>
      <formula>0.85</formula>
    </cfRule>
  </conditionalFormatting>
  <conditionalFormatting sqref="M3:M7 K4:K7 K9:K13 M9:M13">
    <cfRule type="cellIs" priority="5" operator="between" aboveAverage="0" equalAverage="0" bottom="0" percent="0" rank="0" text="" dxfId="3">
      <formula>0.86</formula>
      <formula>0.99</formula>
    </cfRule>
  </conditionalFormatting>
  <conditionalFormatting sqref="M3:M7 K4:K7 K9:K13 M9:M13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"/>
    <col collapsed="false" customWidth="true" hidden="false" outlineLevel="0" max="3" min="3" style="0" width="9.88"/>
    <col collapsed="false" customWidth="true" hidden="false" outlineLevel="0" max="4" min="4" style="0" width="10.75"/>
    <col collapsed="false" customWidth="true" hidden="false" outlineLevel="0" max="5" min="5" style="0" width="10"/>
    <col collapsed="false" customWidth="true" hidden="false" outlineLevel="0" max="6" min="6" style="0" width="10.51"/>
    <col collapsed="false" customWidth="true" hidden="false" outlineLevel="0" max="9" min="7" style="0" width="9.51"/>
    <col collapsed="false" customWidth="true" hidden="false" outlineLevel="0" max="10" min="10" style="0" width="9.88"/>
    <col collapsed="false" customWidth="true" hidden="false" outlineLevel="0" max="11" min="11" style="0" width="9.13"/>
    <col collapsed="false" customWidth="true" hidden="false" outlineLevel="0" max="12" min="12" style="0" width="11.25"/>
    <col collapsed="false" customWidth="true" hidden="false" outlineLevel="0" max="16" min="16" style="0" width="11.63"/>
  </cols>
  <sheetData>
    <row r="1" customFormat="false" ht="15.75" hidden="false" customHeight="false" outlineLevel="0" collapsed="false">
      <c r="A1" s="2"/>
    </row>
    <row r="2" customFormat="false" ht="15.75" hidden="false" customHeight="false" outlineLevel="0" collapsed="false">
      <c r="D2" s="48" t="s">
        <v>84</v>
      </c>
      <c r="E2" s="48"/>
      <c r="F2" s="48"/>
      <c r="G2" s="49" t="n">
        <v>2023</v>
      </c>
      <c r="H2" s="49" t="s">
        <v>8</v>
      </c>
      <c r="I2" s="49" t="s">
        <v>9</v>
      </c>
      <c r="J2" s="49" t="s">
        <v>10</v>
      </c>
      <c r="K2" s="49" t="s">
        <v>11</v>
      </c>
      <c r="L2" s="50"/>
    </row>
    <row r="3" customFormat="false" ht="15.75" hidden="false" customHeight="false" outlineLevel="0" collapsed="false">
      <c r="D3" s="51" t="s">
        <v>12</v>
      </c>
      <c r="E3" s="51"/>
      <c r="F3" s="51"/>
      <c r="G3" s="51"/>
      <c r="H3" s="51"/>
      <c r="I3" s="52" t="n">
        <v>45626</v>
      </c>
      <c r="J3" s="53"/>
      <c r="K3" s="53"/>
    </row>
    <row r="4" customFormat="false" ht="17.65" hidden="false" customHeight="false" outlineLevel="0" collapsed="false">
      <c r="D4" s="54" t="s">
        <v>67</v>
      </c>
      <c r="E4" s="54"/>
      <c r="F4" s="54"/>
      <c r="G4" s="55" t="n">
        <f aca="false">'2023'!P25</f>
        <v>5477.5</v>
      </c>
      <c r="H4" s="55" t="n">
        <f aca="false">G4*0.95</f>
        <v>5203.625</v>
      </c>
      <c r="I4" s="55" t="n">
        <f aca="false">P23</f>
        <v>5670.333333</v>
      </c>
      <c r="J4" s="56" t="n">
        <f aca="false">I4/G4-1</f>
        <v>0.03520462498</v>
      </c>
      <c r="K4" s="57" t="n">
        <f aca="false">J4/-0.05</f>
        <v>-0.7040924996</v>
      </c>
      <c r="L4" s="58"/>
    </row>
    <row r="5" customFormat="false" ht="17.65" hidden="false" customHeight="false" outlineLevel="0" collapsed="false">
      <c r="D5" s="54" t="s">
        <v>85</v>
      </c>
      <c r="E5" s="54"/>
      <c r="F5" s="54"/>
      <c r="G5" s="56" t="n">
        <f aca="false">'2023'!P33</f>
        <v>0.1857411392</v>
      </c>
      <c r="H5" s="56" t="n">
        <v>0.05</v>
      </c>
      <c r="I5" s="56" t="n">
        <f aca="false">P29/'2023'!P31-1</f>
        <v>-0.07175606271</v>
      </c>
      <c r="J5" s="56" t="n">
        <f aca="false">P29/'2023'!P31-1</f>
        <v>-0.07175606271</v>
      </c>
      <c r="K5" s="57" t="n">
        <f aca="false">(I5)/(H5)</f>
        <v>-1.435121254</v>
      </c>
      <c r="L5" s="58"/>
    </row>
    <row r="6" customFormat="false" ht="17.65" hidden="false" customHeight="false" outlineLevel="0" collapsed="false">
      <c r="D6" s="54" t="s">
        <v>86</v>
      </c>
      <c r="E6" s="54"/>
      <c r="F6" s="54"/>
      <c r="G6" s="59" t="n">
        <f aca="false">'2023'!O34</f>
        <v>0.5649171935</v>
      </c>
      <c r="H6" s="56" t="n">
        <f aca="false">G6*1.05</f>
        <v>0.5931630531</v>
      </c>
      <c r="I6" s="56" t="n">
        <f aca="false">O32</f>
        <v>0.4785842736</v>
      </c>
      <c r="J6" s="56" t="n">
        <f aca="false">I6/G6-1</f>
        <v>-0.152824026</v>
      </c>
      <c r="K6" s="57" t="n">
        <f aca="false">(J6)/(0.05)</f>
        <v>-3.056480519</v>
      </c>
      <c r="L6" s="58"/>
    </row>
    <row r="7" customFormat="false" ht="17.65" hidden="false" customHeight="false" outlineLevel="0" collapsed="false">
      <c r="D7" s="54" t="s">
        <v>18</v>
      </c>
      <c r="E7" s="54"/>
      <c r="F7" s="54"/>
      <c r="G7" s="54" t="n">
        <v>6</v>
      </c>
      <c r="H7" s="55" t="n">
        <v>3</v>
      </c>
      <c r="I7" s="55" t="n">
        <v>3</v>
      </c>
      <c r="J7" s="55"/>
      <c r="K7" s="57" t="n">
        <f aca="false">I7/3</f>
        <v>1</v>
      </c>
      <c r="L7" s="58"/>
    </row>
    <row r="8" customFormat="false" ht="15.75" hidden="false" customHeight="false" outlineLevel="0" collapsed="false">
      <c r="D8" s="60" t="s">
        <v>19</v>
      </c>
      <c r="E8" s="60"/>
      <c r="F8" s="60"/>
      <c r="G8" s="60"/>
      <c r="H8" s="60"/>
      <c r="I8" s="60"/>
      <c r="J8" s="60"/>
      <c r="K8" s="60"/>
      <c r="L8" s="50"/>
    </row>
    <row r="9" customFormat="false" ht="17.65" hidden="false" customHeight="false" outlineLevel="0" collapsed="false">
      <c r="D9" s="54" t="s">
        <v>87</v>
      </c>
      <c r="E9" s="54"/>
      <c r="F9" s="54"/>
      <c r="G9" s="61" t="n">
        <f aca="false">'2023'!O62*2.2/12</f>
        <v>19.61666667</v>
      </c>
      <c r="H9" s="55" t="n">
        <f aca="false">G9*120%</f>
        <v>23.54</v>
      </c>
      <c r="I9" s="55" t="n">
        <f aca="false">P53</f>
        <v>48.66666667</v>
      </c>
      <c r="J9" s="56" t="n">
        <f aca="false">I9/G9-1</f>
        <v>1.48088360212729</v>
      </c>
      <c r="K9" s="57" t="n">
        <f aca="false">J9/0.2</f>
        <v>7.404418012</v>
      </c>
      <c r="L9" s="58"/>
    </row>
    <row r="10" customFormat="false" ht="17.65" hidden="false" customHeight="false" outlineLevel="0" collapsed="false">
      <c r="D10" s="54" t="s">
        <v>22</v>
      </c>
      <c r="E10" s="54"/>
      <c r="F10" s="54"/>
      <c r="G10" s="62" t="n">
        <f aca="false">'2023'!P66</f>
        <v>5796.111111</v>
      </c>
      <c r="H10" s="55" t="n">
        <f aca="false">G10*1.05</f>
        <v>6085.916667</v>
      </c>
      <c r="I10" s="55" t="n">
        <f aca="false">P59</f>
        <v>11616.78297</v>
      </c>
      <c r="J10" s="56" t="n">
        <f aca="false">I10/G10-1</f>
        <v>1.00423745292829</v>
      </c>
      <c r="K10" s="57" t="n">
        <f aca="false">J10/0.05</f>
        <v>20.08474907</v>
      </c>
      <c r="L10" s="58"/>
    </row>
    <row r="11" customFormat="false" ht="17.65" hidden="false" customHeight="false" outlineLevel="0" collapsed="false">
      <c r="D11" s="54" t="s">
        <v>88</v>
      </c>
      <c r="E11" s="54"/>
      <c r="F11" s="54"/>
      <c r="G11" s="62" t="n">
        <f aca="false">'2023'!O49/12</f>
        <v>386.7025</v>
      </c>
      <c r="H11" s="55" t="n">
        <f aca="false">G11*0.9</f>
        <v>348.03225</v>
      </c>
      <c r="I11" s="55" t="n">
        <f aca="false">P39</f>
        <v>371.3808333</v>
      </c>
      <c r="J11" s="56" t="n">
        <f aca="false">I11/G11-1</f>
        <v>-0.0396213282820772</v>
      </c>
      <c r="K11" s="57" t="n">
        <f aca="false">J11/-0.1</f>
        <v>0.396213282</v>
      </c>
      <c r="L11" s="58"/>
    </row>
    <row r="13" customFormat="false" ht="22.05" hidden="false" customHeight="false" outlineLevel="0" collapsed="false">
      <c r="B13" s="64" t="s">
        <v>26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</row>
    <row r="14" customFormat="false" ht="15.75" hidden="false" customHeight="false" outlineLevel="0" collapsed="false">
      <c r="B14" s="1"/>
      <c r="C14" s="65" t="s">
        <v>27</v>
      </c>
      <c r="D14" s="65" t="s">
        <v>28</v>
      </c>
      <c r="E14" s="65" t="s">
        <v>29</v>
      </c>
      <c r="F14" s="65" t="s">
        <v>30</v>
      </c>
      <c r="G14" s="65" t="s">
        <v>31</v>
      </c>
      <c r="H14" s="65" t="s">
        <v>32</v>
      </c>
      <c r="I14" s="65" t="s">
        <v>33</v>
      </c>
      <c r="J14" s="65" t="s">
        <v>34</v>
      </c>
      <c r="K14" s="65" t="s">
        <v>35</v>
      </c>
      <c r="L14" s="65" t="s">
        <v>36</v>
      </c>
      <c r="M14" s="65" t="s">
        <v>37</v>
      </c>
      <c r="N14" s="65" t="s">
        <v>38</v>
      </c>
      <c r="O14" s="65" t="s">
        <v>39</v>
      </c>
      <c r="P14" s="66" t="s">
        <v>40</v>
      </c>
      <c r="Q14" s="66" t="s">
        <v>41</v>
      </c>
    </row>
    <row r="15" customFormat="false" ht="15.75" hidden="false" customHeight="false" outlineLevel="0" collapsed="false">
      <c r="B15" s="67" t="s">
        <v>4</v>
      </c>
      <c r="C15" s="68" t="n">
        <v>815471</v>
      </c>
      <c r="D15" s="68" t="n">
        <v>938497</v>
      </c>
      <c r="E15" s="68" t="n">
        <v>1012093</v>
      </c>
      <c r="F15" s="68" t="n">
        <v>1016816</v>
      </c>
      <c r="G15" s="68" t="n">
        <v>1070345</v>
      </c>
      <c r="H15" s="68" t="n">
        <v>1099318.92</v>
      </c>
      <c r="I15" s="68" t="n">
        <v>1071159.5</v>
      </c>
      <c r="J15" s="68" t="n">
        <v>1078315</v>
      </c>
      <c r="K15" s="68" t="n">
        <v>1115697</v>
      </c>
      <c r="L15" s="68" t="n">
        <v>1140366</v>
      </c>
      <c r="M15" s="68" t="n">
        <v>1185614.38</v>
      </c>
      <c r="N15" s="68" t="n">
        <v>1188636</v>
      </c>
      <c r="O15" s="68" t="n">
        <f aca="false">IFERROR(LOOKUP(9^9,C15:N15),"")</f>
        <v>1188636</v>
      </c>
      <c r="P15" s="2" t="s">
        <v>42</v>
      </c>
      <c r="Q15" s="2" t="s">
        <v>42</v>
      </c>
    </row>
    <row r="16" customFormat="false" ht="15.75" hidden="false" customHeight="false" outlineLevel="0" collapsed="false">
      <c r="B16" s="69" t="s">
        <v>43</v>
      </c>
      <c r="C16" s="70" t="n">
        <f aca="false">IF(C15&gt;0,C15-'2023'!N17,"")</f>
        <v>27365</v>
      </c>
      <c r="D16" s="70" t="n">
        <f aca="false">IF(D15&gt;0,D15-C15,"")</f>
        <v>123026</v>
      </c>
      <c r="E16" s="70" t="n">
        <f aca="false">IF(E15&gt;0,E15-D15,"")</f>
        <v>73596</v>
      </c>
      <c r="F16" s="70" t="n">
        <f aca="false">IF(F15&gt;0,F15-E15,"")</f>
        <v>4723</v>
      </c>
      <c r="G16" s="70" t="n">
        <f aca="false">IF(G15&gt;0,G15-F15,"")</f>
        <v>53529</v>
      </c>
      <c r="H16" s="70" t="n">
        <f aca="false">IF(H15&gt;0,H15-G15,"")</f>
        <v>28973.9199999999</v>
      </c>
      <c r="I16" s="70" t="n">
        <f aca="false">IF(I15&gt;0,I15-H15,"")</f>
        <v>-28159.4199999999</v>
      </c>
      <c r="J16" s="70" t="n">
        <f aca="false">IF(J15&gt;0,J15-I15,"")</f>
        <v>7155.5</v>
      </c>
      <c r="K16" s="70" t="n">
        <f aca="false">IF(K15&gt;0,K15-J15,"")</f>
        <v>37382</v>
      </c>
      <c r="L16" s="70" t="n">
        <f aca="false">IF(L15&gt;0,L15-K15,"")</f>
        <v>24669</v>
      </c>
      <c r="M16" s="70" t="n">
        <f aca="false">IF(M15&gt;0,M15-L15,"")</f>
        <v>45248.3799999999</v>
      </c>
      <c r="N16" s="70" t="n">
        <f aca="false">IF(N15&gt;0,N15-M15,"")</f>
        <v>3021.62000000011</v>
      </c>
      <c r="O16" s="71" t="n">
        <f aca="false">SUM(C16:N16)</f>
        <v>400530</v>
      </c>
      <c r="P16" s="71" t="n">
        <f aca="false">AVERAGE(C16:N16)</f>
        <v>33377.5</v>
      </c>
      <c r="Q16" s="71" t="n">
        <f aca="false">MEDIAN(C16:N16)</f>
        <v>28169.46</v>
      </c>
    </row>
    <row r="17" customFormat="false" ht="15.75" hidden="false" customHeight="false" outlineLevel="0" collapsed="false">
      <c r="B17" s="69" t="s">
        <v>44</v>
      </c>
      <c r="C17" s="72" t="n">
        <f aca="false">IF(C15&gt;0,(C15-'2023'!N17)/'2023'!N17,"")</f>
        <v>0.03472248657</v>
      </c>
      <c r="D17" s="72" t="n">
        <f aca="false">IF(D15&gt;0,(D15-C15)/C15,"")</f>
        <v>0.150864960249966</v>
      </c>
      <c r="E17" s="72" t="n">
        <f aca="false">IF(E15&gt;0,(E15-D15)/D15,"")</f>
        <v>0.0784190040032094</v>
      </c>
      <c r="F17" s="72" t="n">
        <f aca="false">IF(F15&gt;0,(F15-E15)/E15,"")</f>
        <v>0.00466656720281634</v>
      </c>
      <c r="G17" s="72" t="n">
        <f aca="false">IF(G15&gt;0,(G15-F15)/F15,"")</f>
        <v>0.0526437428207267</v>
      </c>
      <c r="H17" s="72" t="n">
        <f aca="false">IF(H15&gt;0,(H15-G15)/G15,"")</f>
        <v>0.0270697018251124</v>
      </c>
      <c r="I17" s="72" t="n">
        <f aca="false">IF(I15&gt;0,(I15-H15)/H15,"")</f>
        <v>-0.0256153328098819</v>
      </c>
      <c r="J17" s="72" t="n">
        <f aca="false">IF(J15&gt;0,(J15-I15)/I15,"")</f>
        <v>0.00668014427356523</v>
      </c>
      <c r="K17" s="72" t="n">
        <f aca="false">IF(K15&gt;0,(K15-J15)/J15,"")</f>
        <v>0.034667049980757</v>
      </c>
      <c r="L17" s="72" t="n">
        <f aca="false">IF(L15&gt;0,(L15-K15)/K15,"")</f>
        <v>0.0221108419221348</v>
      </c>
      <c r="M17" s="72" t="n">
        <f aca="false">IF(M15&gt;0,(M15-L15)/L15,"")</f>
        <v>0.039678822413155</v>
      </c>
      <c r="N17" s="72" t="n">
        <f aca="false">IF(N15&gt;0,(N15-M15)/M15,"")</f>
        <v>0.00254856895376059</v>
      </c>
      <c r="O17" s="73" t="s">
        <v>42</v>
      </c>
      <c r="P17" s="72" t="n">
        <f aca="false">AVERAGE(C17:N17)</f>
        <v>0.0357047131171101</v>
      </c>
      <c r="Q17" s="72" t="n">
        <f aca="false">MEDIAN(C17:N17)</f>
        <v>0.0308683759029347</v>
      </c>
    </row>
    <row r="18" customFormat="false" ht="15.75" hidden="false" customHeight="false" outlineLevel="0" collapsed="false">
      <c r="B18" s="69" t="s">
        <v>45</v>
      </c>
      <c r="C18" s="72" t="n">
        <f aca="false">IF(C15&gt;0,(C15-'2023'!C17)/'2023'!C17,"")</f>
        <v>0.3876743588</v>
      </c>
      <c r="D18" s="72" t="n">
        <f aca="false">IF(D15&gt;0,(D15-'2023'!D17)/'2023'!D17,"")</f>
        <v>0.5365699915</v>
      </c>
      <c r="E18" s="72" t="n">
        <f aca="false">IF(E15&gt;0,(E15-'2023'!E17)/'2023'!E17,"")</f>
        <v>0.5633508242</v>
      </c>
      <c r="F18" s="72" t="n">
        <f aca="false">IF(F15&gt;0,(F15-'2023'!F17)/'2023'!F17,"")</f>
        <v>0.5152182562</v>
      </c>
      <c r="G18" s="72" t="n">
        <f aca="false">IF(G15&gt;0,(G15-'2023'!G17)/'2023'!G17,"")</f>
        <v>0.5207436455</v>
      </c>
      <c r="H18" s="72" t="n">
        <f aca="false">IF(H15&gt;0,(H15-'2023'!H17)/'2023'!H17,"")</f>
        <v>0.5280606488</v>
      </c>
      <c r="I18" s="72" t="n">
        <f aca="false">IF(I15&gt;0,(I15-'2023'!I17)/'2023'!I17,"")</f>
        <v>0.460612957</v>
      </c>
      <c r="J18" s="72" t="n">
        <f aca="false">IF(J15&gt;0,(J15-'2023'!J17)/'2023'!J17,"")</f>
        <v>0.4430676705</v>
      </c>
      <c r="K18" s="72" t="n">
        <f aca="false">IF(K15&gt;0,(K15-'2023'!K17)/'2023'!K17,"")</f>
        <v>0.4967159894</v>
      </c>
      <c r="L18" s="72" t="n">
        <f aca="false">IF(L15&gt;0,(L15-'2023'!L17)/'2023'!L17,"")</f>
        <v>0.5197423131</v>
      </c>
      <c r="M18" s="72" t="n">
        <f aca="false">IF(M15&gt;0,(M15-'2023'!M17)/'2023'!M17,"")</f>
        <v>0.5147324082</v>
      </c>
      <c r="N18" s="72" t="n">
        <f aca="false">IF(N15&gt;0,(N15-'2023'!N17)/'2023'!N17,"")</f>
        <v>0.5082184376</v>
      </c>
      <c r="O18" s="72" t="n">
        <f aca="false">IF(O15&gt;0,(O15-'2023'!O17)/'2023'!O17,"")</f>
        <v>0.5082184376</v>
      </c>
      <c r="P18" s="72" t="n">
        <f aca="false">AVERAGE(C18:N18)</f>
        <v>0.4995589584</v>
      </c>
      <c r="Q18" s="72" t="n">
        <f aca="false">MEDIAN(C18:N18)</f>
        <v>0.5149753322</v>
      </c>
    </row>
    <row r="19" customFormat="false" ht="15.75" hidden="false" customHeight="false" outlineLevel="0" collapsed="false">
      <c r="B19" s="67" t="s">
        <v>5</v>
      </c>
      <c r="C19" s="2" t="n">
        <v>23.32</v>
      </c>
      <c r="D19" s="2" t="n">
        <v>31.5</v>
      </c>
      <c r="E19" s="2" t="n">
        <v>35.2</v>
      </c>
      <c r="F19" s="2" t="n">
        <v>33.03</v>
      </c>
      <c r="G19" s="2" t="n">
        <v>34.03</v>
      </c>
      <c r="H19" s="2" t="n">
        <v>37.08</v>
      </c>
      <c r="I19" s="2" t="n">
        <v>29.63</v>
      </c>
      <c r="J19" s="74" t="n">
        <v>29.68</v>
      </c>
      <c r="K19" s="74" t="n">
        <v>31.24</v>
      </c>
      <c r="L19" s="74" t="n">
        <v>31.51</v>
      </c>
      <c r="M19" s="2" t="n">
        <v>32.76</v>
      </c>
      <c r="N19" s="2" t="n">
        <v>34.81</v>
      </c>
      <c r="O19" s="3" t="n">
        <f aca="false">IFERROR(LOOKUP(9^9,C19:N19),"")</f>
        <v>34.81</v>
      </c>
      <c r="P19" s="3" t="n">
        <f aca="false">AVERAGE(C19:N19)</f>
        <v>31.9825</v>
      </c>
      <c r="Q19" s="3" t="n">
        <f aca="false">MEDIAN(C19:N19)</f>
        <v>32.135</v>
      </c>
    </row>
    <row r="20" customFormat="false" ht="15.75" hidden="false" customHeight="false" outlineLevel="0" collapsed="false">
      <c r="B20" s="69" t="s">
        <v>46</v>
      </c>
      <c r="C20" s="75" t="n">
        <f aca="false">C19-'2023'!N21</f>
        <v>1.51</v>
      </c>
      <c r="D20" s="75" t="n">
        <f aca="false">IF(D19&gt;0,D19-C19,"")</f>
        <v>8.18</v>
      </c>
      <c r="E20" s="75" t="n">
        <f aca="false">IF(E19&gt;0,E19-D19,"")</f>
        <v>3.7</v>
      </c>
      <c r="F20" s="75" t="n">
        <f aca="false">IF(F19&gt;0,F19-E19,"")</f>
        <v>-2.17</v>
      </c>
      <c r="G20" s="75" t="n">
        <f aca="false">IF(G19&gt;0,G19-F19,"")</f>
        <v>1</v>
      </c>
      <c r="H20" s="75" t="n">
        <f aca="false">IF(H19&gt;0,H19-G19,"")</f>
        <v>3.05</v>
      </c>
      <c r="I20" s="75" t="n">
        <f aca="false">IF(I19&gt;0,I19-H19,"")</f>
        <v>-7.45</v>
      </c>
      <c r="J20" s="71" t="n">
        <f aca="false">IF(J19&gt;0,J19-I19,"")</f>
        <v>0.0500000000000007</v>
      </c>
      <c r="K20" s="71" t="n">
        <f aca="false">IF(K19&gt;0,K19-J19,"")</f>
        <v>1.56</v>
      </c>
      <c r="L20" s="71" t="n">
        <f aca="false">IF(L19&gt;0,L19-K19,"")</f>
        <v>0.270000000000003</v>
      </c>
      <c r="M20" s="71" t="n">
        <f aca="false">IF(M19&gt;0,M19-L19,"")</f>
        <v>1.25</v>
      </c>
      <c r="N20" s="75" t="n">
        <f aca="false">IF(N19&gt;0,N19-M19,"")</f>
        <v>2.05</v>
      </c>
      <c r="O20" s="69" t="n">
        <f aca="false">SUM(C20:N20)</f>
        <v>13</v>
      </c>
      <c r="P20" s="69" t="n">
        <f aca="false">AVERAGE(C20:N20)</f>
        <v>1.08333333333333</v>
      </c>
      <c r="Q20" s="69" t="n">
        <f aca="false">MEDIAN(C20:N20)</f>
        <v>1.38</v>
      </c>
    </row>
    <row r="21" customFormat="false" ht="15.75" hidden="false" customHeight="false" outlineLevel="0" collapsed="false">
      <c r="B21" s="69" t="s">
        <v>44</v>
      </c>
      <c r="C21" s="76" t="n">
        <f aca="false">(C19-'2023'!N21)/'2023'!N21</f>
        <v>0.06923429619</v>
      </c>
      <c r="D21" s="76" t="n">
        <f aca="false">IF(D19&gt;0,(D19-C19)/C19,"")</f>
        <v>0.350771869639794</v>
      </c>
      <c r="E21" s="76" t="n">
        <f aca="false">IF(E19&gt;0,(E19-D19)/D19,"")</f>
        <v>0.117460317460318</v>
      </c>
      <c r="F21" s="76" t="n">
        <f aca="false">IF(F19&gt;0,(F19-E19)/E19,"")</f>
        <v>-0.0616477272727273</v>
      </c>
      <c r="G21" s="76" t="n">
        <f aca="false">IF(G19&gt;0,(G19-F19)/F19,"")</f>
        <v>0.0302755071147442</v>
      </c>
      <c r="H21" s="76" t="n">
        <f aca="false">IF(H19&gt;0,(H19-G19)/G19,"")</f>
        <v>0.0896267998824566</v>
      </c>
      <c r="I21" s="76" t="n">
        <f aca="false">IF(I19&gt;0,(I19-H19)/H19,"")</f>
        <v>-0.20091693635383</v>
      </c>
      <c r="J21" s="76" t="n">
        <f aca="false">IF(J19&gt;0,(J19-I19)/I19,"")</f>
        <v>0.00168747890651369</v>
      </c>
      <c r="K21" s="76" t="n">
        <f aca="false">IF(K19&gt;0,(K19-J19)/J19,"")</f>
        <v>0.0525606469002695</v>
      </c>
      <c r="L21" s="76" t="n">
        <f aca="false">IF(L19&gt;0,(L19-K19)/K19,"")</f>
        <v>0.00864276568501931</v>
      </c>
      <c r="M21" s="76" t="n">
        <f aca="false">IF(M19&gt;0,(M19-L19)/L19,"")</f>
        <v>0.0396699460488733</v>
      </c>
      <c r="N21" s="76" t="n">
        <f aca="false">IF(N19&gt;0,(N19-M19)/M19,"")</f>
        <v>0.0625763125763127</v>
      </c>
      <c r="O21" s="73" t="s">
        <v>42</v>
      </c>
      <c r="P21" s="72" t="n">
        <f aca="false">AVERAGE(C21:N21)</f>
        <v>0.046661773064812</v>
      </c>
      <c r="Q21" s="72" t="n">
        <f aca="false">MEDIAN(C21:N21)</f>
        <v>0.0461152964745714</v>
      </c>
    </row>
    <row r="22" customFormat="false" ht="15.75" hidden="false" customHeight="false" outlineLevel="0" collapsed="false">
      <c r="B22" s="69" t="s">
        <v>45</v>
      </c>
      <c r="C22" s="76" t="n">
        <f aca="false">IF(C19&gt;0,(C19-'2023'!C21)/'2023'!C21,"")</f>
        <v>0.65742715</v>
      </c>
      <c r="D22" s="76" t="n">
        <f aca="false">IF(D19&gt;0,(D19-'2022'!D31)/'2022'!D31,"")</f>
        <v>1.658227848</v>
      </c>
      <c r="E22" s="76" t="n">
        <f aca="false">IF(E19&gt;0,(E19-'2022'!E31)/'2022'!E31,"")</f>
        <v>1.534197264</v>
      </c>
      <c r="F22" s="76" t="n">
        <f aca="false">IF(F19&gt;0,(F19-'2022'!F31)/'2022'!F31,"")</f>
        <v>1.345880682</v>
      </c>
      <c r="G22" s="76" t="n">
        <f aca="false">IF(G19&gt;0,(G19-'2022'!G31)/'2022'!G31,"")</f>
        <v>1.560571859</v>
      </c>
      <c r="H22" s="76" t="n">
        <f aca="false">IF(H19&gt;0,(H19-'2022'!H31)/'2022'!H31,"")</f>
        <v>1.403110823</v>
      </c>
      <c r="I22" s="76" t="n">
        <f aca="false">IF(I19&gt;0,(I19-'2022'!I31)/'2022'!I31,"")</f>
        <v>1.102909865</v>
      </c>
      <c r="J22" s="76" t="n">
        <f aca="false">IF(J19&gt;0,(J19-'2022'!J31)/'2022'!J31,"")</f>
        <v>0.755174453</v>
      </c>
      <c r="K22" s="76" t="n">
        <f aca="false">IF(K19&gt;0,(K19-'2022'!K31)/'2022'!K31,"")</f>
        <v>1.120841819</v>
      </c>
      <c r="L22" s="76" t="n">
        <f aca="false">IF(L19&gt;0,(L19-'2022'!L31)/'2022'!L31,"")</f>
        <v>1.096473719</v>
      </c>
      <c r="M22" s="76" t="n">
        <f aca="false">IF(M19&gt;0,(M19-'2022'!M31)/'2022'!M31,"")</f>
        <v>1.506503443</v>
      </c>
      <c r="N22" s="76" t="n">
        <f aca="false">IF(N19&gt;0,(N19-'2022'!N31)/'2022'!N31,"")</f>
        <v>1.762698413</v>
      </c>
      <c r="O22" s="76" t="n">
        <f aca="false">IF(O19&gt;0,(O19-'2023'!O21)/'2023'!O21,"")</f>
        <v>0.5960568547</v>
      </c>
      <c r="P22" s="72" t="n">
        <f aca="false">AVERAGE(C22:N22)</f>
        <v>1.29200144483333</v>
      </c>
      <c r="Q22" s="72" t="n">
        <f aca="false">MEDIAN(C22:N22)</f>
        <v>1.3744957525</v>
      </c>
    </row>
    <row r="23" customFormat="false" ht="15.75" hidden="false" customHeight="false" outlineLevel="0" collapsed="false">
      <c r="B23" s="2" t="s">
        <v>1</v>
      </c>
      <c r="C23" s="2" t="n">
        <v>4823</v>
      </c>
      <c r="D23" s="2" t="n">
        <v>2888</v>
      </c>
      <c r="E23" s="2" t="n">
        <v>7369</v>
      </c>
      <c r="F23" s="2" t="n">
        <v>5638</v>
      </c>
      <c r="G23" s="2" t="n">
        <v>5719</v>
      </c>
      <c r="H23" s="2" t="n">
        <v>6314</v>
      </c>
      <c r="I23" s="2" t="n">
        <v>6003</v>
      </c>
      <c r="J23" s="2" t="n">
        <v>5157</v>
      </c>
      <c r="K23" s="2" t="n">
        <v>5490</v>
      </c>
      <c r="L23" s="2" t="n">
        <v>7221</v>
      </c>
      <c r="M23" s="2" t="n">
        <v>5334</v>
      </c>
      <c r="N23" s="2" t="n">
        <v>6088</v>
      </c>
      <c r="O23" s="0" t="n">
        <f aca="false">SUM(C23:N23)</f>
        <v>68044</v>
      </c>
      <c r="P23" s="0" t="n">
        <f aca="false">AVERAGE(C23:N23)</f>
        <v>5670.33333333333</v>
      </c>
      <c r="Q23" s="0" t="n">
        <f aca="false">MEDIAN(C23:N23)</f>
        <v>5678.5</v>
      </c>
    </row>
    <row r="24" customFormat="false" ht="15.75" hidden="false" customHeight="false" outlineLevel="0" collapsed="false">
      <c r="B24" s="69" t="s">
        <v>44</v>
      </c>
      <c r="C24" s="78" t="n">
        <f aca="false">(C23-'2023'!N25)/'2023'!N25</f>
        <v>-0.1265845708</v>
      </c>
      <c r="D24" s="78" t="n">
        <f aca="false">IF(D23&gt;0,(D23-C23)/C23,"")</f>
        <v>-0.401202571013892</v>
      </c>
      <c r="E24" s="78" t="n">
        <f aca="false">IF(E23&gt;0,(E23-D23)/D23,"")</f>
        <v>1.55159279778393</v>
      </c>
      <c r="F24" s="78" t="n">
        <f aca="false">IF(F23&gt;0,(F23-E23)/E23,"")</f>
        <v>-0.23490297190935</v>
      </c>
      <c r="G24" s="78" t="n">
        <f aca="false">IF(G23&gt;0,(G23-F23)/F23,"")</f>
        <v>0.0143667967364314</v>
      </c>
      <c r="H24" s="78" t="n">
        <f aca="false">IF(H23&gt;0,(H23-G23)/G23,"")</f>
        <v>0.104039167686659</v>
      </c>
      <c r="I24" s="78" t="n">
        <f aca="false">IF(I23&gt;0,(I23-H23)/H23,"")</f>
        <v>-0.0492556224263541</v>
      </c>
      <c r="J24" s="78" t="n">
        <f aca="false">IF(J23&gt;0,(J23-I23)/I23,"")</f>
        <v>-0.140929535232384</v>
      </c>
      <c r="K24" s="78" t="n">
        <f aca="false">IF(K23&gt;0,(K23-J23)/J23,"")</f>
        <v>0.0645724258289703</v>
      </c>
      <c r="L24" s="78" t="n">
        <f aca="false">IF(L23&gt;0,(L23-K23)/K23,"")</f>
        <v>0.315300546448087</v>
      </c>
      <c r="M24" s="78" t="n">
        <f aca="false">IF(M23&gt;0,(M23-L23)/L23,"")</f>
        <v>-0.261321146655588</v>
      </c>
      <c r="N24" s="78" t="n">
        <f aca="false">IF(N23&gt;0,(N23-M23)/M23,"")</f>
        <v>0.141357330333708</v>
      </c>
      <c r="O24" s="73" t="s">
        <v>42</v>
      </c>
      <c r="P24" s="78" t="n">
        <f aca="false">AVERAGE(C24:N24)</f>
        <v>0.0814193872316852</v>
      </c>
      <c r="Q24" s="78" t="n">
        <f aca="false">MEDIAN(C24:N24)</f>
        <v>-0.0174444128449614</v>
      </c>
    </row>
    <row r="25" customFormat="false" ht="15.75" hidden="false" customHeight="false" outlineLevel="0" collapsed="false">
      <c r="B25" s="69" t="s">
        <v>45</v>
      </c>
      <c r="C25" s="78" t="n">
        <f aca="false">IF(C23&gt;0,(C23-'2023'!C25)/'2023'!C25,"")</f>
        <v>0.1571497121</v>
      </c>
      <c r="D25" s="78" t="n">
        <f aca="false">IF(D23&gt;0,(D23-'2022'!D35)/'2022'!D35,"")</f>
        <v>-0.3012339705</v>
      </c>
      <c r="E25" s="78" t="n">
        <f aca="false">IF(E23&gt;0,(E23-'2022'!E35)/'2022'!E35,"")</f>
        <v>0.06044035113</v>
      </c>
      <c r="F25" s="78" t="n">
        <f aca="false">IF(F23&gt;0,(F23-'2022'!F35)/'2022'!F35,"")</f>
        <v>0.3811856933</v>
      </c>
      <c r="G25" s="78" t="n">
        <f aca="false">IF(G23&gt;0,(G23-'2022'!G35)/'2022'!G35,"")</f>
        <v>0.2906793049</v>
      </c>
      <c r="H25" s="78" t="n">
        <f aca="false">IF(H23&gt;0,(H23-'2022'!H35)/'2022'!H35,"")</f>
        <v>0.4220720721</v>
      </c>
      <c r="I25" s="78" t="n">
        <f aca="false">IF(I23&gt;0,(I23-'2022'!I35)/'2022'!I35,"")</f>
        <v>0.8619727047</v>
      </c>
      <c r="J25" s="78" t="n">
        <f aca="false">IF(J23&gt;0,(J23-'2022'!J35)/'2022'!J35,"")</f>
        <v>-0.2018263427</v>
      </c>
      <c r="K25" s="78" t="n">
        <f aca="false">IF(K23&gt;0,(K23-'2022'!K35)/'2022'!K35,"")</f>
        <v>0.01817507418</v>
      </c>
      <c r="L25" s="78" t="n">
        <f aca="false">IF(L23&gt;0,(L23-'2022'!L35)/'2022'!L35,"")</f>
        <v>0.39025799</v>
      </c>
      <c r="M25" s="78" t="n">
        <f aca="false">IF(M23&gt;0,(M23-'2022'!M35)/'2022'!M35,"")</f>
        <v>-0.1420588978</v>
      </c>
      <c r="N25" s="78" t="n">
        <f aca="false">IF(N23&gt;0,(N23-'2022'!N35)/'2022'!N35,"")</f>
        <v>0.0465875881</v>
      </c>
      <c r="O25" s="78" t="n">
        <f aca="false">IF(O23&gt;0,(O23-'2023'!O25)/'2023'!O25,"")</f>
        <v>0.03520462498</v>
      </c>
      <c r="P25" s="78" t="n">
        <f aca="false">AVERAGE(C25:N25)</f>
        <v>0.165283439959167</v>
      </c>
      <c r="Q25" s="78" t="n">
        <f aca="false">MEDIAN(C25:N25)</f>
        <v>0.108795031615</v>
      </c>
    </row>
    <row r="26" customFormat="false" ht="15.75" hidden="false" customHeight="false" outlineLevel="0" collapsed="false">
      <c r="B26" s="2" t="s">
        <v>2</v>
      </c>
      <c r="C26" s="2" t="n">
        <v>8401</v>
      </c>
      <c r="D26" s="2" t="n">
        <v>4673</v>
      </c>
      <c r="E26" s="2" t="n">
        <v>7396</v>
      </c>
      <c r="F26" s="2" t="n">
        <v>14191</v>
      </c>
      <c r="G26" s="2" t="n">
        <v>12990</v>
      </c>
      <c r="H26" s="2" t="n">
        <v>10112</v>
      </c>
      <c r="I26" s="2" t="n">
        <v>31195</v>
      </c>
      <c r="J26" s="2" t="n">
        <v>11802</v>
      </c>
      <c r="K26" s="2" t="n">
        <v>12033</v>
      </c>
      <c r="L26" s="2" t="n">
        <v>13763</v>
      </c>
      <c r="M26" s="2" t="n">
        <v>11876</v>
      </c>
      <c r="N26" s="2" t="n">
        <v>12631</v>
      </c>
      <c r="O26" s="0" t="n">
        <f aca="false">SUM(C26:N26)</f>
        <v>151063</v>
      </c>
      <c r="P26" s="0" t="n">
        <f aca="false">AVERAGE(C26:N26)</f>
        <v>12588.5833333333</v>
      </c>
      <c r="Q26" s="0" t="n">
        <f aca="false">MEDIAN(C26:N26)</f>
        <v>11954.5</v>
      </c>
    </row>
    <row r="27" customFormat="false" ht="15.75" hidden="false" customHeight="false" outlineLevel="0" collapsed="false">
      <c r="B27" s="69" t="s">
        <v>44</v>
      </c>
      <c r="C27" s="78" t="n">
        <f aca="false">(C26-'2022'!N28)/'2022'!N28</f>
        <v>-1.68027266</v>
      </c>
      <c r="D27" s="78" t="n">
        <f aca="false">IF(D26&gt;0,(D26-C26)/C26,"")</f>
        <v>-0.443756695631472</v>
      </c>
      <c r="E27" s="78" t="n">
        <f aca="false">IF(E26&gt;0,(E26-D26)/D26,"")</f>
        <v>0.582709180398031</v>
      </c>
      <c r="F27" s="78" t="n">
        <f aca="false">IF(F26&gt;0,(F26-E26)/E26,"")</f>
        <v>0.918739859383451</v>
      </c>
      <c r="G27" s="78" t="n">
        <f aca="false">IF(G26&gt;0,(G26-F26)/F26,"")</f>
        <v>-0.0846311042209851</v>
      </c>
      <c r="H27" s="78" t="n">
        <f aca="false">IF(H26&gt;0,(H26-G26)/G26,"")</f>
        <v>-0.221555042340262</v>
      </c>
      <c r="I27" s="78" t="n">
        <f aca="false">IF(I26&gt;0,(I26-H26)/H26,"")</f>
        <v>2.08494857594937</v>
      </c>
      <c r="J27" s="78" t="n">
        <f aca="false">IF(J26&gt;0,(J26-I26)/I26,"")</f>
        <v>-0.621670139445424</v>
      </c>
      <c r="K27" s="78" t="n">
        <f aca="false">IF(K26&gt;0,(K26-J26)/J26,"")</f>
        <v>0.0195729537366548</v>
      </c>
      <c r="L27" s="78" t="n">
        <f aca="false">IF(L26&gt;0,(L26-K26)/K26,"")</f>
        <v>0.143771295603756</v>
      </c>
      <c r="M27" s="78" t="n">
        <f aca="false">IF(M26&gt;0,(M26-L26)/L26,"")</f>
        <v>-0.13710673545012</v>
      </c>
      <c r="N27" s="78" t="n">
        <f aca="false">IF(N26&gt;0,(N26-M26)/M26,"")</f>
        <v>0.0635735938026271</v>
      </c>
      <c r="O27" s="73" t="s">
        <v>42</v>
      </c>
      <c r="P27" s="78" t="n">
        <f aca="false">AVERAGE(C27:N27)</f>
        <v>0.0520269234821353</v>
      </c>
      <c r="Q27" s="78" t="n">
        <f aca="false">MEDIAN(C27:N27)</f>
        <v>-0.0325290752421652</v>
      </c>
    </row>
    <row r="28" customFormat="false" ht="15.75" hidden="false" customHeight="false" outlineLevel="0" collapsed="false">
      <c r="B28" s="69" t="s">
        <v>45</v>
      </c>
      <c r="C28" s="78" t="n">
        <f aca="false">IF(C26&gt;0,(C26-'2022'!C28)/'2022'!C28,"")</f>
        <v>-0.156610782</v>
      </c>
      <c r="D28" s="78" t="n">
        <f aca="false">IF(D26&gt;0,(D26-'2022'!D38)/'2022'!D38,"")</f>
        <v>-0.1467956911</v>
      </c>
      <c r="E28" s="78" t="n">
        <f aca="false">IF(E26&gt;0,(E26-'2022'!E38)/'2022'!E38,"")</f>
        <v>-0.05879358615</v>
      </c>
      <c r="F28" s="78" t="n">
        <f aca="false">IF(F26&gt;0,(F26-'2022'!F38)/'2022'!F38,"")</f>
        <v>1.692789374</v>
      </c>
      <c r="G28" s="78" t="n">
        <f aca="false">IF(G26&gt;0,(G26-'2022'!G38)/'2022'!G38,"")</f>
        <v>0.965204236</v>
      </c>
      <c r="H28" s="78" t="n">
        <f aca="false">IF(H26&gt;0,(H26-'2022'!H38)/'2022'!H38,"")</f>
        <v>-0.6286721504</v>
      </c>
      <c r="I28" s="78" t="n">
        <f aca="false">IF(I26&gt;0,(I26-'2022'!I38)/'2022'!I38,"")</f>
        <v>3.469197708</v>
      </c>
      <c r="J28" s="78" t="n">
        <f aca="false">IF(J26&gt;0,(J26-'2022'!J38)/'2022'!J38,"")</f>
        <v>-0.04181212958</v>
      </c>
      <c r="K28" s="78" t="n">
        <f aca="false">IF(K26&gt;0,(K26-'2022'!K38)/'2022'!K38,"")</f>
        <v>0.01621484672</v>
      </c>
      <c r="L28" s="78" t="n">
        <f aca="false">IF(L26&gt;0,(L26-'2022'!L38)/'2022'!L38,"")</f>
        <v>-0.3239512722</v>
      </c>
      <c r="M28" s="78" t="n">
        <f aca="false">IF(M26&gt;0,(M26-'2022'!M38)/'2022'!M38,"")</f>
        <v>-0.007106429228</v>
      </c>
      <c r="N28" s="78" t="n">
        <f aca="false">IF(N26&gt;0,(N26-'2022'!N38)/'2022'!N38,"")</f>
        <v>0.02416281521</v>
      </c>
      <c r="O28" s="78" t="n">
        <f aca="false">IF(O26&gt;0,(O26-'2023'!O28)/'2023'!O28,"")</f>
        <v>0.1124341839</v>
      </c>
      <c r="P28" s="78" t="n">
        <f aca="false">AVERAGE(C28:N28)</f>
        <v>0.400318911606</v>
      </c>
      <c r="Q28" s="78" t="n">
        <f aca="false">MEDIAN(C28:N28)</f>
        <v>-0.024459279404</v>
      </c>
    </row>
    <row r="29" customFormat="false" ht="15.75" hidden="false" customHeight="false" outlineLevel="0" collapsed="false">
      <c r="B29" s="2" t="s">
        <v>3</v>
      </c>
      <c r="C29" s="2" t="n">
        <v>16471</v>
      </c>
      <c r="D29" s="2" t="n">
        <v>35284</v>
      </c>
      <c r="E29" s="2" t="n">
        <v>49307</v>
      </c>
      <c r="F29" s="2" t="n">
        <v>19657</v>
      </c>
      <c r="G29" s="2" t="n">
        <v>27119</v>
      </c>
      <c r="H29" s="2" t="n">
        <v>17855</v>
      </c>
      <c r="I29" s="2" t="n">
        <v>19144</v>
      </c>
      <c r="J29" s="2" t="n">
        <v>27232</v>
      </c>
      <c r="K29" s="2" t="n">
        <v>18292</v>
      </c>
      <c r="L29" s="2" t="n">
        <v>17367</v>
      </c>
      <c r="M29" s="2" t="n">
        <v>23984</v>
      </c>
      <c r="N29" s="2" t="n">
        <v>18005</v>
      </c>
      <c r="O29" s="0" t="n">
        <f aca="false">SUM(C29:N29)</f>
        <v>289717</v>
      </c>
      <c r="P29" s="0" t="n">
        <f aca="false">AVERAGE(C29:N29)</f>
        <v>24143.0833333333</v>
      </c>
      <c r="Q29" s="0" t="n">
        <f aca="false">MEDIAN(C29:N29)</f>
        <v>19400.5</v>
      </c>
    </row>
    <row r="30" customFormat="false" ht="15.75" hidden="false" customHeight="false" outlineLevel="0" collapsed="false">
      <c r="B30" s="69" t="s">
        <v>44</v>
      </c>
      <c r="C30" s="78" t="n">
        <f aca="false">(C29-'2023'!N31)/'2023'!N31</f>
        <v>-0.162207528</v>
      </c>
      <c r="D30" s="78" t="n">
        <f aca="false">IF(D29&gt;0,(D29-C29)/C29,"")</f>
        <v>1.1421893024103</v>
      </c>
      <c r="E30" s="78" t="n">
        <f aca="false">IF(E29&gt;0,(E29-D29)/D29,"")</f>
        <v>0.397432263915656</v>
      </c>
      <c r="F30" s="78" t="n">
        <f aca="false">IF(F29&gt;0,(F29-E29)/E29,"")</f>
        <v>-0.60133449611617</v>
      </c>
      <c r="G30" s="78" t="n">
        <f aca="false">IF(G29&gt;0,(G29-F29)/F29,"")</f>
        <v>0.379610316935443</v>
      </c>
      <c r="H30" s="78" t="n">
        <f aca="false">IF(H29&gt;0,(H29-G29)/G29,"")</f>
        <v>-0.341605516427597</v>
      </c>
      <c r="I30" s="78" t="n">
        <f aca="false">IF(I29&gt;0,(I29-H29)/H29,"")</f>
        <v>0.0721926631195744</v>
      </c>
      <c r="J30" s="78" t="n">
        <f aca="false">IF(J29&gt;0,(J29-I29)/I29,"")</f>
        <v>0.422482239866277</v>
      </c>
      <c r="K30" s="78" t="n">
        <f aca="false">IF(K29&gt;0,(K29-J29)/J29,"")</f>
        <v>-0.328290246768508</v>
      </c>
      <c r="L30" s="78" t="n">
        <f aca="false">IF(L29&gt;0,(L29-K29)/K29,"")</f>
        <v>-0.0505685545593702</v>
      </c>
      <c r="M30" s="78" t="n">
        <f aca="false">IF(M29&gt;0,(M29-L29)/L29,"")</f>
        <v>0.381009961421086</v>
      </c>
      <c r="N30" s="78" t="n">
        <f aca="false">IF(N29&gt;0,(N29-M29)/M29,"")</f>
        <v>-0.24929119412942</v>
      </c>
      <c r="O30" s="73" t="s">
        <v>42</v>
      </c>
      <c r="P30" s="73" t="s">
        <v>42</v>
      </c>
      <c r="Q30" s="73" t="s">
        <v>42</v>
      </c>
    </row>
    <row r="31" customFormat="false" ht="15.75" hidden="false" customHeight="false" outlineLevel="0" collapsed="false">
      <c r="B31" s="69" t="s">
        <v>45</v>
      </c>
      <c r="C31" s="73" t="n">
        <f aca="false">IF(C29&gt;0,(C29-'2023'!C31)/'2023'!C31,"")</f>
        <v>-0.6001310966</v>
      </c>
      <c r="D31" s="73" t="n">
        <f aca="false">IF(D29&gt;0,(D29-'2022'!D41)/'2022'!D41,"")</f>
        <v>0.293970955</v>
      </c>
      <c r="E31" s="73" t="n">
        <f aca="false">IF(E29&gt;0,(E29-'2022'!E41)/'2022'!E41,"")</f>
        <v>0.04395418263</v>
      </c>
      <c r="F31" s="73" t="n">
        <f aca="false">IF(F29&gt;0,(F29-'2022'!F41)/'2022'!F41,"")</f>
        <v>0.01696932071</v>
      </c>
      <c r="G31" s="73" t="n">
        <f aca="false">IF(G29&gt;0,(G29-'2022'!G41)/'2022'!G41,"")</f>
        <v>0.4723383463</v>
      </c>
      <c r="H31" s="73" t="n">
        <f aca="false">IF(H29&gt;0,(H29-'2022'!H41)/'2022'!H41,"")</f>
        <v>0.0600213726</v>
      </c>
      <c r="I31" s="73" t="n">
        <f aca="false">IF(I29&gt;0,(I29-'2022'!I41)/'2022'!I41,"")</f>
        <v>0.1885515614</v>
      </c>
      <c r="J31" s="73" t="n">
        <f aca="false">IF(J29&gt;0,(J29-'2022'!J41)/'2022'!J41,"")</f>
        <v>0.2833176249</v>
      </c>
      <c r="K31" s="73" t="n">
        <f aca="false">IF(K29&gt;0,(K29-'2022'!K41)/'2022'!K41,"")</f>
        <v>0.1573787005</v>
      </c>
      <c r="L31" s="73" t="n">
        <f aca="false">IF(L29&gt;0,(L29-'2022'!L41)/'2022'!L41,"")</f>
        <v>0.04211233115</v>
      </c>
      <c r="M31" s="73" t="n">
        <f aca="false">IF(M29&gt;0,(M29-'2022'!M41)/'2022'!M41,"")</f>
        <v>0.2461810246</v>
      </c>
      <c r="N31" s="73" t="n">
        <f aca="false">IF(N29&gt;0,(N29-'2022'!N41)/'2022'!N41,"")</f>
        <v>-0.02817509581</v>
      </c>
      <c r="O31" s="73" t="n">
        <f aca="false">IF(O29&gt;0,(O29-'2023'!O31)/'2023'!O31,"")</f>
        <v>-0.07175606271</v>
      </c>
      <c r="P31" s="73" t="n">
        <f aca="false">IF(P29&gt;0,(P29-'2023'!P31)/'2023'!P31,"")</f>
        <v>-0.07175606271</v>
      </c>
      <c r="Q31" s="73" t="n">
        <f aca="false">IF(Q29&gt;0,(Q29-'2022'!Q41)/'2022'!Q41,"")</f>
        <v>0.02721520663</v>
      </c>
    </row>
    <row r="32" customFormat="false" ht="15.75" hidden="false" customHeight="false" outlineLevel="0" collapsed="false">
      <c r="B32" s="2" t="s">
        <v>47</v>
      </c>
      <c r="C32" s="79" t="n">
        <f aca="false">IF(C26&gt;0,MAX(0,(C29-C26)/C29),"")</f>
        <v>0.489952036913363</v>
      </c>
      <c r="D32" s="79" t="n">
        <f aca="false">IF(D26&gt;0,MAX(0,(D29-D26)/D29),"")</f>
        <v>0.867560367305294</v>
      </c>
      <c r="E32" s="79" t="n">
        <f aca="false">IF(E26&gt;0,MAX(0,(E29-E26)/E29),"")</f>
        <v>0.8500010140548</v>
      </c>
      <c r="F32" s="79" t="n">
        <f aca="false">IF(F26&gt;0,MAX(0,(F29-F26)/F29),"")</f>
        <v>0.278068881314544</v>
      </c>
      <c r="G32" s="79" t="n">
        <f aca="false">IF(G26&gt;0,MAX(0,(G29-G26)/G29),"")</f>
        <v>0.521000036874516</v>
      </c>
      <c r="H32" s="79" t="n">
        <f aca="false">IF(H26&gt;0,MAX(0,(H29-H26)/H29),"")</f>
        <v>0.433660039204705</v>
      </c>
      <c r="I32" s="79" t="n">
        <f aca="false">IF(I26&gt;0,MAX(0,(I29-I26)/I29),"")</f>
        <v>0</v>
      </c>
      <c r="J32" s="79" t="n">
        <f aca="false">IF(J26&gt;0,MAX(0,(J29-J26)/J29),"")</f>
        <v>0.566612808460635</v>
      </c>
      <c r="K32" s="79" t="n">
        <f aca="false">IF(K26&gt;0,MAX(0,(K29-K26)/K29),"")</f>
        <v>0.342171441067133</v>
      </c>
      <c r="L32" s="79" t="n">
        <f aca="false">IF(L26&gt;0,MAX(0,(L29-L26)/L29),"")</f>
        <v>0.207520009212875</v>
      </c>
      <c r="M32" s="79" t="n">
        <f aca="false">IF(M26&gt;0,MAX(0,(M29-M26)/M29),"")</f>
        <v>0.504836557705137</v>
      </c>
      <c r="N32" s="79" t="n">
        <f aca="false">IF(N26&gt;0,MAX(0,(N29-N26)/N29),"")</f>
        <v>0.298472646487087</v>
      </c>
      <c r="O32" s="79" t="n">
        <f aca="false">IF(O26&gt;0,MAX(0,(O29-O26)/O29),"")</f>
        <v>0.478584273618738</v>
      </c>
      <c r="P32" s="79" t="n">
        <f aca="false">AVERAGE(C32:N32)</f>
        <v>0.4466546532</v>
      </c>
      <c r="Q32" s="79" t="n">
        <f aca="false">MEDIAN(C32:N32)</f>
        <v>0.4618060381</v>
      </c>
    </row>
    <row r="33" customFormat="false" ht="15.75" hidden="false" customHeight="false" outlineLevel="0" collapsed="false">
      <c r="B33" s="69" t="s">
        <v>44</v>
      </c>
      <c r="C33" s="78" t="n">
        <f aca="false">(C32-'2023'!N34)/'2023'!N34</f>
        <v>24.75523274</v>
      </c>
      <c r="D33" s="78" t="n">
        <f aca="false">IF(ISBLANK(D26),"",IF(C32=0,100,(D32-C32)/C32))</f>
        <v>0.770704685239839</v>
      </c>
      <c r="E33" s="78" t="n">
        <f aca="false">IF(ISBLANK(E26),"",IF(D32=0,100,(E32-D32)/D32))</f>
        <v>-0.0202399209464066</v>
      </c>
      <c r="F33" s="78" t="n">
        <f aca="false">IF(ISBLANK(F26),"",IF(E32=0,100,(F32-E32)/E32))</f>
        <v>-0.672860529909183</v>
      </c>
      <c r="G33" s="78" t="n">
        <f aca="false">IF(ISBLANK(G26),"",IF(F32=0,100,(G32-F32)/F32))</f>
        <v>0.87363661266783</v>
      </c>
      <c r="H33" s="78" t="n">
        <f aca="false">IF(ISBLANK(H26),"",IF(G32=0,100,(H32-G32)/G32))</f>
        <v>-0.16763913913282</v>
      </c>
      <c r="I33" s="78" t="n">
        <f aca="false">IF(ISBLANK(I26),"",IF(H32=0,100,(I32-H32)/H32))</f>
        <v>-1</v>
      </c>
      <c r="J33" s="78" t="n">
        <f aca="false">IF(ISBLANK(J26),"",IF(I32=0,100,(J32-I32)/I32))</f>
        <v>100</v>
      </c>
      <c r="K33" s="78" t="n">
        <f aca="false">IF(ISBLANK(K26),"",IF(J32=0,100,(K32-J32)/J32))</f>
        <v>-0.396110649180806</v>
      </c>
      <c r="L33" s="78" t="n">
        <f aca="false">IF(ISBLANK(L26),"",IF(K32=0,100,(L32-K32)/K32))</f>
        <v>-0.393520369304696</v>
      </c>
      <c r="M33" s="91" t="n">
        <f aca="false">IF(ISBLANK(M26),"",IF(L32=0,100,(M32-L32)/L32))</f>
        <v>1.4327126797073</v>
      </c>
      <c r="N33" s="78" t="n">
        <f aca="false">IF(ISBLANK(N26),"",IF(M32=0,100,(N32-M32)/M32))</f>
        <v>-0.408773707189768</v>
      </c>
      <c r="O33" s="73" t="s">
        <v>42</v>
      </c>
      <c r="P33" s="73" t="s">
        <v>42</v>
      </c>
      <c r="Q33" s="73" t="s">
        <v>42</v>
      </c>
    </row>
    <row r="34" customFormat="false" ht="15.75" hidden="false" customHeight="false" outlineLevel="0" collapsed="false">
      <c r="B34" s="69" t="s">
        <v>45</v>
      </c>
      <c r="C34" s="78" t="n">
        <f aca="false">IF(ISBLANK(C26),"",IF('2023'!C34=0,100,(C32-'2023'!C34)/'2023'!C34))</f>
        <v>-0.3553641565</v>
      </c>
      <c r="D34" s="78" t="n">
        <f aca="false">IF(ISBLANK(D26),"",IF('2022'!D44=0,100,(D32-'2022'!D44)/'2022'!D44))</f>
        <v>0.08561498305</v>
      </c>
      <c r="E34" s="78" t="n">
        <f aca="false">IF(ISBLANK(E26),"",IF('2022'!E44=0,100,(E32-'2022'!E44)/'2022'!E44))</f>
        <v>0.01964284903</v>
      </c>
      <c r="F34" s="78" t="n">
        <f aca="false">IF(ISBLANK(F26),"",IF('2022'!F44=0,100,(F32-'2022'!F44)/'2022'!F44))</f>
        <v>-0.617697318</v>
      </c>
      <c r="G34" s="78" t="n">
        <f aca="false">IF(ISBLANK(G26),"",IF('2022'!G44=0,100,(G32-'2022'!G44)/'2022'!G44))</f>
        <v>-0.1873740639</v>
      </c>
      <c r="H34" s="78" t="n">
        <f aca="false">IF(ISBLANK(H26),"",IF('2022'!H44=0,100,(H32-'2022'!H44)/'2022'!H44))</f>
        <v>100</v>
      </c>
      <c r="I34" s="78" t="n">
        <f aca="false">IF(ISBLANK(I26),"",IF('2022'!I44=0,100,(I32-'2022'!I44)/'2022'!I44))</f>
        <v>-1</v>
      </c>
      <c r="J34" s="78" t="n">
        <f aca="false">IF(ISBLANK(J26),"",IF('2022'!J44=0,100,(J32-'2022'!J44)/'2022'!J44))</f>
        <v>0.3505025043</v>
      </c>
      <c r="K34" s="78" t="n">
        <f aca="false">IF(ISBLANK(K26),"",IF('2022'!K44=0,100,(K32-'2022'!K44)/'2022'!K44))</f>
        <v>0.3643659759</v>
      </c>
      <c r="L34" s="78" t="n">
        <f aca="false">IF(ISBLANK(L26),"",IF('2022'!L44=0,100,(L32-'2022'!L44)/'2022'!L44))</f>
        <v>100</v>
      </c>
      <c r="M34" s="78" t="n">
        <f aca="false">IF(ISBLANK(M26),"",IF('2022'!M44=0,100,(M32-'2022'!M44)/'2022'!M44))</f>
        <v>0.3337109663</v>
      </c>
      <c r="N34" s="78" t="n">
        <f aca="false">IF(ISBLANK(N26),"",IF('2022'!N44=0,100,(N32-'2022'!N44)/'2022'!N44))</f>
        <v>-0.1072323666</v>
      </c>
      <c r="O34" s="78" t="n">
        <f aca="false">IF(ISBLANK(O26),"",IF('2023'!O34=0,100,(O32-'2023'!O34)/'2023'!O34))</f>
        <v>-0.152824026</v>
      </c>
      <c r="P34" s="78" t="n">
        <f aca="false">IF(ISBLANK(P26),"",IF('2023'!P34=0,100,(P32-'2023'!P34)/'2023'!P34))</f>
        <v>-0.1055237337</v>
      </c>
      <c r="Q34" s="78" t="n">
        <f aca="false">IF(ISBLANK(Q26),"",IF('2022'!Q44=0,100,(Q32-'2022'!Q44)/'2022'!Q44))</f>
        <v>-0.06346853118</v>
      </c>
    </row>
    <row r="35" customFormat="false" ht="22.05" hidden="false" customHeight="false" outlineLevel="0" collapsed="false">
      <c r="B35" s="81" t="s">
        <v>48</v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</row>
    <row r="36" customFormat="false" ht="15.75" hidden="false" customHeight="false" outlineLevel="0" collapsed="false">
      <c r="B36" s="1"/>
      <c r="C36" s="65" t="s">
        <v>27</v>
      </c>
      <c r="D36" s="65" t="s">
        <v>28</v>
      </c>
      <c r="E36" s="65" t="s">
        <v>29</v>
      </c>
      <c r="F36" s="65" t="s">
        <v>30</v>
      </c>
      <c r="G36" s="65" t="s">
        <v>31</v>
      </c>
      <c r="H36" s="65" t="s">
        <v>32</v>
      </c>
      <c r="I36" s="65" t="s">
        <v>33</v>
      </c>
      <c r="J36" s="65" t="s">
        <v>34</v>
      </c>
      <c r="K36" s="65" t="s">
        <v>35</v>
      </c>
      <c r="L36" s="65" t="s">
        <v>36</v>
      </c>
      <c r="M36" s="65" t="s">
        <v>37</v>
      </c>
      <c r="N36" s="65" t="s">
        <v>38</v>
      </c>
      <c r="O36" s="65" t="s">
        <v>39</v>
      </c>
      <c r="P36" s="66" t="s">
        <v>40</v>
      </c>
      <c r="Q36" s="66" t="s">
        <v>41</v>
      </c>
    </row>
    <row r="37" customFormat="false" ht="15.75" hidden="false" customHeight="false" outlineLevel="0" collapsed="false">
      <c r="B37" s="2" t="s">
        <v>89</v>
      </c>
      <c r="C37" s="2" t="n">
        <v>1509</v>
      </c>
      <c r="D37" s="2" t="n">
        <v>1858</v>
      </c>
      <c r="E37" s="2" t="n">
        <v>2216</v>
      </c>
      <c r="F37" s="2" t="n">
        <v>2559.56</v>
      </c>
      <c r="G37" s="2" t="n">
        <v>2886.5</v>
      </c>
      <c r="H37" s="2" t="n">
        <v>3218.54</v>
      </c>
      <c r="I37" s="2" t="n">
        <v>3648</v>
      </c>
      <c r="J37" s="2" t="n">
        <v>4076</v>
      </c>
      <c r="K37" s="2" t="n">
        <v>4425</v>
      </c>
      <c r="L37" s="2" t="n">
        <v>4782</v>
      </c>
      <c r="M37" s="2" t="n">
        <v>5169</v>
      </c>
      <c r="N37" s="2" t="n">
        <v>5600</v>
      </c>
      <c r="O37" s="83" t="s">
        <v>42</v>
      </c>
      <c r="P37" s="83" t="s">
        <v>42</v>
      </c>
      <c r="Q37" s="83" t="s">
        <v>42</v>
      </c>
    </row>
    <row r="38" customFormat="false" ht="15.75" hidden="false" customHeight="false" outlineLevel="0" collapsed="false">
      <c r="B38" s="69" t="s">
        <v>90</v>
      </c>
      <c r="C38" s="80" t="n">
        <f aca="false">SUM(C37)</f>
        <v>1509</v>
      </c>
      <c r="D38" s="80" t="n">
        <f aca="false">SUM(D37)</f>
        <v>1858</v>
      </c>
      <c r="E38" s="80" t="n">
        <f aca="false">SUM(E37)</f>
        <v>2216</v>
      </c>
      <c r="F38" s="80" t="n">
        <f aca="false">SUM(F37)</f>
        <v>2559.56</v>
      </c>
      <c r="G38" s="80" t="n">
        <f aca="false">SUM(G37)</f>
        <v>2886.5</v>
      </c>
      <c r="H38" s="80" t="n">
        <f aca="false">SUM(H37)</f>
        <v>3218.54</v>
      </c>
      <c r="I38" s="80" t="n">
        <f aca="false">SUM(I37)</f>
        <v>3648</v>
      </c>
      <c r="J38" s="80" t="n">
        <f aca="false">SUM(J37)</f>
        <v>4076</v>
      </c>
      <c r="K38" s="80" t="n">
        <f aca="false">SUM(K37)</f>
        <v>4425</v>
      </c>
      <c r="L38" s="80" t="n">
        <f aca="false">SUM(L37)</f>
        <v>4782</v>
      </c>
      <c r="M38" s="80" t="n">
        <f aca="false">SUM(M37)</f>
        <v>5169</v>
      </c>
      <c r="N38" s="80" t="n">
        <f aca="false">SUM(N37)</f>
        <v>5600</v>
      </c>
      <c r="O38" s="84" t="s">
        <v>42</v>
      </c>
      <c r="P38" s="84" t="s">
        <v>42</v>
      </c>
      <c r="Q38" s="84" t="s">
        <v>42</v>
      </c>
    </row>
    <row r="39" customFormat="false" ht="15.75" hidden="false" customHeight="false" outlineLevel="0" collapsed="false">
      <c r="B39" s="69" t="s">
        <v>50</v>
      </c>
      <c r="C39" s="80" t="n">
        <f aca="false">C38-'2023'!N48</f>
        <v>365.57</v>
      </c>
      <c r="D39" s="80" t="n">
        <f aca="false">D38-C38</f>
        <v>349</v>
      </c>
      <c r="E39" s="80" t="n">
        <f aca="false">E38-D38</f>
        <v>358</v>
      </c>
      <c r="F39" s="80" t="n">
        <f aca="false">F38-E38</f>
        <v>343.56</v>
      </c>
      <c r="G39" s="80" t="n">
        <f aca="false">G38-F38</f>
        <v>326.94</v>
      </c>
      <c r="H39" s="80" t="n">
        <f aca="false">H38-G38</f>
        <v>332.04</v>
      </c>
      <c r="I39" s="80" t="n">
        <f aca="false">I38-H38</f>
        <v>429.46</v>
      </c>
      <c r="J39" s="80" t="n">
        <f aca="false">J38-I38</f>
        <v>428</v>
      </c>
      <c r="K39" s="80" t="n">
        <f aca="false">K38-J38</f>
        <v>349</v>
      </c>
      <c r="L39" s="80" t="n">
        <f aca="false">L38-K38</f>
        <v>357</v>
      </c>
      <c r="M39" s="80" t="n">
        <f aca="false">M38-L38</f>
        <v>387</v>
      </c>
      <c r="N39" s="80" t="n">
        <f aca="false">N38-M38</f>
        <v>431</v>
      </c>
      <c r="O39" s="80" t="n">
        <f aca="false">SUM(C39:N39)</f>
        <v>4456.57</v>
      </c>
      <c r="P39" s="80" t="n">
        <f aca="false">AVERAGE(C39:N39)</f>
        <v>371.3808333</v>
      </c>
      <c r="Q39" s="80" t="n">
        <f aca="false">MEDIAN(C39:N39)</f>
        <v>357.5</v>
      </c>
    </row>
    <row r="40" customFormat="false" ht="15.75" hidden="false" customHeight="false" outlineLevel="0" collapsed="false">
      <c r="B40" s="69" t="s">
        <v>44</v>
      </c>
      <c r="C40" s="78" t="n">
        <f aca="false">(C39-'2023'!N49)/'2023'!N49</f>
        <v>0.03012285843</v>
      </c>
      <c r="D40" s="78" t="n">
        <f aca="false">(D39-C39)/C39</f>
        <v>-0.0453264764614164</v>
      </c>
      <c r="E40" s="78" t="n">
        <f aca="false">(E39-D39)/D39</f>
        <v>0.0257879656160458</v>
      </c>
      <c r="F40" s="78" t="n">
        <f aca="false">(F39-E39)/E39</f>
        <v>-0.0403351955307264</v>
      </c>
      <c r="G40" s="78" t="n">
        <f aca="false">(G39-F39)/F39</f>
        <v>-0.0483758295494234</v>
      </c>
      <c r="H40" s="78" t="n">
        <f aca="false">(H39-G39)/G39</f>
        <v>0.0155991925123873</v>
      </c>
      <c r="I40" s="78" t="n">
        <f aca="false">(I39-H39)/H39</f>
        <v>0.293398385736659</v>
      </c>
      <c r="J40" s="78" t="n">
        <f aca="false">(J39-I39)/I39</f>
        <v>-0.0033996181250874</v>
      </c>
      <c r="K40" s="78" t="n">
        <f aca="false">(K39-J39)/J39</f>
        <v>-0.184579439252336</v>
      </c>
      <c r="L40" s="78" t="n">
        <f aca="false">(L39-K39)/K39</f>
        <v>0.0229226361031519</v>
      </c>
      <c r="M40" s="78" t="n">
        <f aca="false">(M39-L39)/L39</f>
        <v>0.0840336134453782</v>
      </c>
      <c r="N40" s="78" t="n">
        <f aca="false">(N39-M39)/M39</f>
        <v>0.113695090439276</v>
      </c>
      <c r="O40" s="80"/>
      <c r="P40" s="80"/>
      <c r="Q40" s="80"/>
    </row>
    <row r="41" customFormat="false" ht="15.75" hidden="false" customHeight="false" outlineLevel="0" collapsed="false">
      <c r="B41" s="69" t="s">
        <v>45</v>
      </c>
      <c r="C41" s="78" t="n">
        <f aca="false">(C39-'2023'!C49)/'2023'!C49</f>
        <v>-0.2569715447</v>
      </c>
      <c r="D41" s="78" t="n">
        <f aca="false">(D39-'2023'!D49)/'2023'!D49</f>
        <v>-0.1749408983</v>
      </c>
      <c r="E41" s="78" t="n">
        <f aca="false">(E39-'2023'!E49)/'2023'!E49</f>
        <v>-0.1435406699</v>
      </c>
      <c r="F41" s="78" t="n">
        <f aca="false">(F39-'2023'!F49)/'2023'!F49</f>
        <v>-0.2138215103</v>
      </c>
      <c r="G41" s="78" t="n">
        <f aca="false">(G39-'2023'!G49)/'2023'!G49</f>
        <v>-0.157371134</v>
      </c>
      <c r="H41" s="78" t="n">
        <f aca="false">(H39-'2023'!H49)/'2023'!H49</f>
        <v>0.01852760736</v>
      </c>
      <c r="I41" s="78" t="n">
        <f aca="false">(I39-'2023'!I49)/'2023'!I49</f>
        <v>0.4080655738</v>
      </c>
      <c r="J41" s="78" t="n">
        <f aca="false">(J39-'2023'!J49)/'2023'!J49</f>
        <v>0.209039548</v>
      </c>
      <c r="K41" s="78" t="n">
        <f aca="false">(K39-'2023'!K49)/'2023'!K49</f>
        <v>-0.01412429379</v>
      </c>
      <c r="L41" s="78" t="n">
        <f aca="false">(L39-'2023'!L49)/'2023'!L49</f>
        <v>-0.1962536867</v>
      </c>
      <c r="M41" s="78" t="n">
        <f aca="false">(M39-'2023'!M49)/'2023'!M49</f>
        <v>0.1237586387</v>
      </c>
      <c r="N41" s="78" t="n">
        <f aca="false">(N39-'2023'!N49)/'2023'!N49</f>
        <v>0.2144950406</v>
      </c>
      <c r="O41" s="80"/>
      <c r="P41" s="80"/>
      <c r="Q41" s="80"/>
    </row>
    <row r="42" customFormat="false" ht="15.75" hidden="false" customHeight="false" outlineLevel="0" collapsed="false">
      <c r="B42" s="2" t="s">
        <v>74</v>
      </c>
      <c r="C42" s="2" t="n">
        <v>84357</v>
      </c>
      <c r="D42" s="2" t="n">
        <v>85357</v>
      </c>
      <c r="E42" s="2" t="n">
        <v>85976</v>
      </c>
      <c r="F42" s="2" t="n">
        <v>86365</v>
      </c>
      <c r="G42" s="2" t="n">
        <v>86482</v>
      </c>
      <c r="H42" s="2" t="n">
        <v>86482</v>
      </c>
      <c r="I42" s="2" t="n">
        <v>86482</v>
      </c>
      <c r="J42" s="2" t="n">
        <v>86482</v>
      </c>
      <c r="K42" s="2" t="n">
        <v>86482</v>
      </c>
      <c r="L42" s="2" t="n">
        <v>86482</v>
      </c>
      <c r="M42" s="2" t="n">
        <v>87163</v>
      </c>
      <c r="N42" s="2" t="n">
        <v>88930</v>
      </c>
    </row>
    <row r="43" customFormat="false" ht="15.75" hidden="false" customHeight="false" outlineLevel="0" collapsed="false">
      <c r="B43" s="69" t="s">
        <v>75</v>
      </c>
      <c r="C43" s="80" t="n">
        <f aca="false">C42-'2023'!N52</f>
        <v>1303</v>
      </c>
      <c r="D43" s="80" t="n">
        <f aca="false">D42-C42</f>
        <v>1000</v>
      </c>
      <c r="E43" s="80" t="n">
        <f aca="false">E42-D42</f>
        <v>619</v>
      </c>
      <c r="F43" s="80" t="n">
        <f aca="false">F42-E42</f>
        <v>389</v>
      </c>
      <c r="G43" s="80" t="n">
        <f aca="false">G42-F42</f>
        <v>117</v>
      </c>
      <c r="H43" s="80" t="n">
        <f aca="false">H42-G42</f>
        <v>0</v>
      </c>
      <c r="I43" s="80" t="n">
        <f aca="false">I42-H42</f>
        <v>0</v>
      </c>
      <c r="J43" s="80" t="n">
        <f aca="false">J42-I42</f>
        <v>0</v>
      </c>
      <c r="K43" s="80" t="n">
        <f aca="false">K42-J42</f>
        <v>0</v>
      </c>
      <c r="L43" s="80" t="n">
        <f aca="false">L42-K42</f>
        <v>0</v>
      </c>
      <c r="M43" s="80" t="n">
        <f aca="false">M42-L42</f>
        <v>681</v>
      </c>
      <c r="N43" s="80" t="n">
        <f aca="false">IF(N42&gt;0,N42-M42,"")</f>
        <v>1767</v>
      </c>
      <c r="O43" s="80" t="n">
        <f aca="false">SUM(C43:N43)</f>
        <v>5876</v>
      </c>
      <c r="P43" s="80" t="n">
        <f aca="false">AVERAGE(C43:N43)</f>
        <v>489.6666667</v>
      </c>
      <c r="Q43" s="80" t="n">
        <f aca="false">MEDIAN(C43:N43)</f>
        <v>253</v>
      </c>
    </row>
    <row r="44" customFormat="false" ht="15.75" hidden="false" customHeight="false" outlineLevel="0" collapsed="false">
      <c r="B44" s="69" t="s">
        <v>44</v>
      </c>
      <c r="C44" s="76" t="n">
        <f aca="false">(C43-'2023'!N53)/'2023'!N53</f>
        <v>0.2433206107</v>
      </c>
      <c r="D44" s="76" t="n">
        <f aca="false">(D43-C43)/C43</f>
        <v>-0.232540291634689</v>
      </c>
      <c r="E44" s="76" t="n">
        <f aca="false">(E43-D43)/D43</f>
        <v>-0.381</v>
      </c>
      <c r="F44" s="76" t="n">
        <f aca="false">(F43-E43)/E43</f>
        <v>-0.37156704361874</v>
      </c>
      <c r="G44" s="76" t="n">
        <f aca="false">(G43-F43)/F43</f>
        <v>-0.699228791773779</v>
      </c>
      <c r="H44" s="76" t="n">
        <f aca="false">(H43-G43)/G43</f>
        <v>-1</v>
      </c>
      <c r="I44" s="76" t="n">
        <v>0</v>
      </c>
      <c r="J44" s="76" t="n">
        <v>0</v>
      </c>
      <c r="K44" s="76" t="n">
        <v>0</v>
      </c>
      <c r="L44" s="76" t="n">
        <v>0</v>
      </c>
      <c r="M44" s="76" t="n">
        <v>0</v>
      </c>
      <c r="N44" s="76" t="n">
        <v>0</v>
      </c>
      <c r="O44" s="80"/>
      <c r="P44" s="80"/>
      <c r="Q44" s="80"/>
    </row>
    <row r="45" customFormat="false" ht="15.75" hidden="false" customHeight="false" outlineLevel="0" collapsed="false">
      <c r="B45" s="69" t="s">
        <v>45</v>
      </c>
      <c r="C45" s="76" t="n">
        <f aca="false">(C43-'2023'!C53)/'2023'!C53</f>
        <v>-0.1881619938</v>
      </c>
      <c r="D45" s="76" t="n">
        <f aca="false">(D43-'2023'!D53)/'2023'!D53</f>
        <v>-0.1721854305</v>
      </c>
      <c r="E45" s="76" t="n">
        <f aca="false">(E43-'2023'!E53)/'2023'!E53</f>
        <v>-0.3205268935</v>
      </c>
      <c r="F45" s="76" t="n">
        <f aca="false">(F43-'2023'!F53)/'2023'!F53</f>
        <v>-0.4961139896</v>
      </c>
      <c r="G45" s="76" t="n">
        <f aca="false">(G43-'2023'!G53)/'2023'!G53</f>
        <v>-0.3426966292</v>
      </c>
      <c r="H45" s="84" t="s">
        <v>42</v>
      </c>
      <c r="I45" s="84" t="s">
        <v>42</v>
      </c>
      <c r="J45" s="84" t="s">
        <v>42</v>
      </c>
      <c r="K45" s="84" t="s">
        <v>42</v>
      </c>
      <c r="L45" s="84" t="s">
        <v>42</v>
      </c>
      <c r="M45" s="76" t="n">
        <f aca="false">(M43-'2023'!M53)/'2023'!M53</f>
        <v>0.4901531729</v>
      </c>
      <c r="N45" s="76" t="n">
        <f aca="false">(N43-'2023'!N53)/'2023'!N53</f>
        <v>0.6860687023</v>
      </c>
      <c r="O45" s="76" t="n">
        <f aca="false">(O43-'2023'!O53)/'2023'!O53</f>
        <v>-0.08345031976</v>
      </c>
      <c r="P45" s="76" t="n">
        <f aca="false">(P43-'2023'!P53)/'2023'!P53</f>
        <v>-0.08345031976</v>
      </c>
      <c r="Q45" s="76" t="n">
        <f aca="false">(Q43-'2023'!Q53)/'2023'!Q53</f>
        <v>-0.2656023222</v>
      </c>
    </row>
    <row r="46" customFormat="false" ht="15.75" hidden="false" customHeight="false" outlineLevel="0" collapsed="false">
      <c r="B46" s="2" t="s">
        <v>91</v>
      </c>
      <c r="C46" s="2" t="n">
        <v>297.842</v>
      </c>
      <c r="D46" s="2" t="n">
        <v>308.12</v>
      </c>
      <c r="E46" s="2" t="n">
        <v>318.067</v>
      </c>
      <c r="F46" s="2" t="n">
        <v>328.502</v>
      </c>
      <c r="G46" s="2" t="n">
        <v>337.917</v>
      </c>
      <c r="H46" s="2" t="n">
        <v>348.24</v>
      </c>
      <c r="I46" s="2" t="n">
        <v>360.178</v>
      </c>
      <c r="J46" s="2" t="n">
        <v>368.842</v>
      </c>
      <c r="K46" s="2" t="n">
        <v>376.988</v>
      </c>
      <c r="L46" s="2" t="n">
        <v>385.154</v>
      </c>
      <c r="M46" s="2" t="n">
        <v>392.708</v>
      </c>
      <c r="N46" s="2" t="n">
        <v>400.781</v>
      </c>
    </row>
    <row r="47" customFormat="false" ht="15.75" hidden="false" customHeight="false" outlineLevel="0" collapsed="false">
      <c r="B47" s="69" t="s">
        <v>52</v>
      </c>
      <c r="C47" s="84" t="n">
        <f aca="false">C46-'2023'!N56</f>
        <v>10.828</v>
      </c>
      <c r="D47" s="80" t="n">
        <f aca="false">D46-C46</f>
        <v>10.278</v>
      </c>
      <c r="E47" s="80" t="n">
        <f aca="false">E46-D46</f>
        <v>9.947</v>
      </c>
      <c r="F47" s="80" t="n">
        <f aca="false">F46-E46</f>
        <v>10.435</v>
      </c>
      <c r="G47" s="80" t="n">
        <f aca="false">G46-F46</f>
        <v>9.41499999999996</v>
      </c>
      <c r="H47" s="80" t="n">
        <f aca="false">H46-G46</f>
        <v>10.323</v>
      </c>
      <c r="I47" s="80" t="n">
        <f aca="false">I46-H46</f>
        <v>11.938</v>
      </c>
      <c r="J47" s="80" t="n">
        <f aca="false">J46-I46</f>
        <v>8.66399999999999</v>
      </c>
      <c r="K47" s="80" t="n">
        <f aca="false">K46-J46</f>
        <v>8.14600000000002</v>
      </c>
      <c r="L47" s="80" t="n">
        <f aca="false">L46-K46</f>
        <v>8.166</v>
      </c>
      <c r="M47" s="80" t="n">
        <f aca="false">M46-L46</f>
        <v>7.55400000000003</v>
      </c>
      <c r="N47" s="80" t="n">
        <f aca="false">N46-M46</f>
        <v>8.07299999999998</v>
      </c>
      <c r="O47" s="80" t="n">
        <f aca="false">SUM(C47:N47)</f>
        <v>113.767</v>
      </c>
      <c r="P47" s="80" t="n">
        <f aca="false">O47/12</f>
        <v>9.480583333</v>
      </c>
      <c r="Q47" s="80" t="n">
        <f aca="false">MEDIAN(C47:N47)</f>
        <v>9.681</v>
      </c>
    </row>
    <row r="48" customFormat="false" ht="15.75" hidden="false" customHeight="false" outlineLevel="0" collapsed="false">
      <c r="B48" s="69" t="s">
        <v>44</v>
      </c>
      <c r="C48" s="73" t="n">
        <f aca="false">(C47-'2023'!N57)/'2023'!N57</f>
        <v>0.2118634583</v>
      </c>
      <c r="D48" s="73" t="n">
        <f aca="false">(D47-C47)/C47</f>
        <v>-0.0507942371629091</v>
      </c>
      <c r="E48" s="73" t="n">
        <f aca="false">(E47-D47)/D47</f>
        <v>-0.0322047090873727</v>
      </c>
      <c r="F48" s="73" t="n">
        <f aca="false">(F47-E47)/E47</f>
        <v>0.0490600180959083</v>
      </c>
      <c r="G48" s="73" t="n">
        <f aca="false">(G47-F47)/F47</f>
        <v>-0.0977479635840957</v>
      </c>
      <c r="H48" s="73" t="n">
        <f aca="false">(H47-G47)/G47</f>
        <v>0.0964418481147186</v>
      </c>
      <c r="I48" s="73" t="n">
        <f aca="false">(I47-H47)/H47</f>
        <v>0.15644676934999</v>
      </c>
      <c r="J48" s="73" t="n">
        <f aca="false">(J47-I47)/I47</f>
        <v>-0.274250293181438</v>
      </c>
      <c r="K48" s="73" t="n">
        <f aca="false">(K47-J47)/J47</f>
        <v>-0.0597876269621391</v>
      </c>
      <c r="L48" s="73" t="n">
        <f aca="false">(L47-K47)/K47</f>
        <v>0.00245519273262727</v>
      </c>
      <c r="M48" s="73" t="n">
        <f aca="false">(M47-L47)/L47</f>
        <v>-0.0749448934606866</v>
      </c>
      <c r="N48" s="73" t="n">
        <f aca="false">(N47-M47)/M47</f>
        <v>0.068705321683869</v>
      </c>
      <c r="O48" s="80"/>
      <c r="P48" s="80"/>
      <c r="Q48" s="80"/>
    </row>
    <row r="49" customFormat="false" ht="15.75" hidden="false" customHeight="false" outlineLevel="0" collapsed="false">
      <c r="B49" s="69" t="s">
        <v>45</v>
      </c>
      <c r="C49" s="84" t="s">
        <v>42</v>
      </c>
      <c r="D49" s="73" t="n">
        <f aca="false">(D47-'2023'!D57)/'2023'!D57</f>
        <v>0.1562605467</v>
      </c>
      <c r="E49" s="73" t="n">
        <f aca="false">(E47-'2023'!E57)/'2023'!E57</f>
        <v>0.1210413614</v>
      </c>
      <c r="F49" s="73" t="n">
        <f aca="false">(F47-'2023'!F57)/'2023'!F57</f>
        <v>0.04601042502</v>
      </c>
      <c r="G49" s="73" t="n">
        <f aca="false">(G47-'2023'!G57)/'2023'!G57</f>
        <v>-0.03117925499</v>
      </c>
      <c r="H49" s="73" t="n">
        <f aca="false">(H47-'2023'!H57)/'2023'!H57</f>
        <v>0.07834534629</v>
      </c>
      <c r="I49" s="73" t="n">
        <f aca="false">(I47-'2023'!I57)/'2023'!I57</f>
        <v>0.5443725744</v>
      </c>
      <c r="J49" s="73" t="n">
        <f aca="false">(J47-'2023'!J57)/'2023'!J57</f>
        <v>-0.2150040772</v>
      </c>
      <c r="K49" s="73" t="n">
        <f aca="false">(K47-'2023'!K57)/'2023'!K57</f>
        <v>-0.03938679245</v>
      </c>
      <c r="L49" s="73" t="n">
        <f aca="false">(L47-'2023'!L57)/'2023'!L57</f>
        <v>-0.2212473775</v>
      </c>
      <c r="M49" s="73" t="n">
        <f aca="false">(M47-'2023'!M57)/'2023'!M57</f>
        <v>-0.2263416633</v>
      </c>
      <c r="N49" s="73" t="n">
        <f aca="false">(N47-'2023'!N57)/'2023'!N57</f>
        <v>-0.09647453833</v>
      </c>
      <c r="O49" s="80"/>
      <c r="P49" s="80"/>
      <c r="Q49" s="80"/>
    </row>
    <row r="50" customFormat="false" ht="22.05" hidden="false" customHeight="false" outlineLevel="0" collapsed="false">
      <c r="B50" s="85" t="s">
        <v>54</v>
      </c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</row>
    <row r="51" customFormat="false" ht="15.75" hidden="false" customHeight="false" outlineLevel="0" collapsed="false">
      <c r="C51" s="65" t="s">
        <v>27</v>
      </c>
      <c r="D51" s="65" t="s">
        <v>28</v>
      </c>
      <c r="E51" s="65" t="s">
        <v>29</v>
      </c>
      <c r="F51" s="65" t="s">
        <v>30</v>
      </c>
      <c r="G51" s="65" t="s">
        <v>31</v>
      </c>
      <c r="H51" s="65" t="s">
        <v>32</v>
      </c>
      <c r="I51" s="65" t="s">
        <v>33</v>
      </c>
      <c r="J51" s="65" t="s">
        <v>34</v>
      </c>
      <c r="K51" s="65" t="s">
        <v>35</v>
      </c>
      <c r="L51" s="65" t="s">
        <v>36</v>
      </c>
      <c r="M51" s="65" t="s">
        <v>37</v>
      </c>
      <c r="N51" s="65" t="s">
        <v>38</v>
      </c>
      <c r="O51" s="65" t="s">
        <v>39</v>
      </c>
      <c r="P51" s="66" t="s">
        <v>40</v>
      </c>
      <c r="Q51" s="66" t="s">
        <v>41</v>
      </c>
    </row>
    <row r="52" customFormat="false" ht="15.75" hidden="false" customHeight="false" outlineLevel="0" collapsed="false">
      <c r="B52" s="2" t="s">
        <v>55</v>
      </c>
      <c r="C52" s="2" t="n">
        <v>13</v>
      </c>
      <c r="D52" s="2" t="n">
        <v>12</v>
      </c>
      <c r="E52" s="2" t="n">
        <v>12</v>
      </c>
      <c r="F52" s="2" t="n">
        <v>11</v>
      </c>
      <c r="G52" s="2" t="n">
        <v>12</v>
      </c>
      <c r="H52" s="2" t="n">
        <v>10</v>
      </c>
      <c r="I52" s="2" t="n">
        <v>12</v>
      </c>
      <c r="J52" s="2" t="n">
        <v>10</v>
      </c>
      <c r="K52" s="2" t="n">
        <v>10</v>
      </c>
      <c r="L52" s="2" t="n">
        <v>19</v>
      </c>
      <c r="M52" s="2" t="n">
        <v>18</v>
      </c>
      <c r="N52" s="2" t="n">
        <v>13</v>
      </c>
      <c r="O52" s="0" t="n">
        <f aca="false">SUM(C52:N52)</f>
        <v>152</v>
      </c>
      <c r="P52" s="5" t="n">
        <f aca="false">AVERAGE(C52:N52)</f>
        <v>12.6666666666667</v>
      </c>
      <c r="Q52" s="0" t="n">
        <f aca="false">MEDIAN(C52:N52)</f>
        <v>12</v>
      </c>
    </row>
    <row r="53" customFormat="false" ht="15.75" hidden="false" customHeight="false" outlineLevel="0" collapsed="false">
      <c r="B53" s="86" t="s">
        <v>56</v>
      </c>
      <c r="C53" s="83" t="n">
        <f aca="false">C52*3</f>
        <v>39</v>
      </c>
      <c r="D53" s="83" t="n">
        <f aca="false">D52*3</f>
        <v>36</v>
      </c>
      <c r="E53" s="83" t="n">
        <f aca="false">E52*3</f>
        <v>36</v>
      </c>
      <c r="F53" s="83" t="n">
        <f aca="false">9*3+2*4</f>
        <v>35</v>
      </c>
      <c r="G53" s="83" t="n">
        <f aca="false">G52*4</f>
        <v>48</v>
      </c>
      <c r="H53" s="83" t="n">
        <f aca="false">10*4</f>
        <v>40</v>
      </c>
      <c r="I53" s="83" t="n">
        <f aca="false">10*4</f>
        <v>40</v>
      </c>
      <c r="J53" s="83" t="n">
        <f aca="false">10*5</f>
        <v>50</v>
      </c>
      <c r="K53" s="83" t="n">
        <f aca="false">K52*6</f>
        <v>60</v>
      </c>
      <c r="L53" s="83" t="n">
        <f aca="false">L52*4</f>
        <v>76</v>
      </c>
      <c r="M53" s="83" t="n">
        <f aca="false">M52*4</f>
        <v>72</v>
      </c>
      <c r="N53" s="83" t="n">
        <f aca="false">N52*4</f>
        <v>52</v>
      </c>
      <c r="O53" s="83" t="n">
        <f aca="false">SUM(C53:N53)</f>
        <v>584</v>
      </c>
      <c r="P53" s="5" t="n">
        <f aca="false">AVERAGE(C53:N53)</f>
        <v>48.6666666666667</v>
      </c>
      <c r="Q53" s="0" t="n">
        <f aca="false">MEDIAN(C53:N53)</f>
        <v>44</v>
      </c>
    </row>
    <row r="54" customFormat="false" ht="15.75" hidden="false" customHeight="false" outlineLevel="0" collapsed="false">
      <c r="B54" s="69" t="s">
        <v>44</v>
      </c>
      <c r="C54" s="73" t="n">
        <f aca="false">(C52-'2023'!N62)/'2023'!N62</f>
        <v>0.4444444444</v>
      </c>
      <c r="D54" s="78" t="n">
        <f aca="false">IF(D52&gt;0,(D52-C52)/C52,"")</f>
        <v>-0.0769230769230769</v>
      </c>
      <c r="E54" s="78" t="n">
        <f aca="false">IF(E52&gt;0,(E52-D52)/D52,"")</f>
        <v>0</v>
      </c>
      <c r="F54" s="78" t="n">
        <f aca="false">IF(F52&gt;0,(F52-E52)/E52,"")</f>
        <v>-0.0833333333333333</v>
      </c>
      <c r="G54" s="78" t="n">
        <f aca="false">IF(G52&gt;0,(G52-F52)/F52,"")</f>
        <v>0.0909090909090909</v>
      </c>
      <c r="H54" s="78" t="n">
        <f aca="false">IF(H52&gt;0,(H52-G52)/G52,"")</f>
        <v>-0.166666666666667</v>
      </c>
      <c r="I54" s="78" t="n">
        <f aca="false">IF(I52&gt;0,(I52-H52)/H52,"")</f>
        <v>0.2</v>
      </c>
      <c r="J54" s="78" t="n">
        <f aca="false">IF(J52&gt;0,(J52-I52)/I52,"")</f>
        <v>-0.166666666666667</v>
      </c>
      <c r="K54" s="78" t="n">
        <f aca="false">IF(K52&gt;0,(K52-J52)/J52,"")</f>
        <v>0</v>
      </c>
      <c r="L54" s="78" t="n">
        <f aca="false">IF(L52&gt;0,(L52-K52)/K52,"")</f>
        <v>0.9</v>
      </c>
      <c r="M54" s="78" t="n">
        <f aca="false">IF(M52&gt;0,(M52-L52)/L52,"")</f>
        <v>-0.0526315789473684</v>
      </c>
      <c r="N54" s="78" t="n">
        <f aca="false">IF(N52&gt;0,(N52-M52)/M52,"")</f>
        <v>-0.277777777777778</v>
      </c>
      <c r="O54" s="73" t="s">
        <v>42</v>
      </c>
      <c r="P54" s="73" t="s">
        <v>42</v>
      </c>
      <c r="Q54" s="73" t="s">
        <v>42</v>
      </c>
    </row>
    <row r="55" customFormat="false" ht="15.75" hidden="false" customHeight="false" outlineLevel="0" collapsed="false">
      <c r="B55" s="69" t="s">
        <v>45</v>
      </c>
      <c r="C55" s="73" t="n">
        <f aca="false">(C52-'2023'!C62)/'2023'!C62</f>
        <v>0.8571428571</v>
      </c>
      <c r="D55" s="73" t="n">
        <f aca="false">(D52-'2023'!D62)/'2023'!D62</f>
        <v>1</v>
      </c>
      <c r="E55" s="73" t="n">
        <f aca="false">(E52-'2023'!E62)/'2023'!E62</f>
        <v>0.5</v>
      </c>
      <c r="F55" s="73" t="n">
        <f aca="false">(F52-'2023'!F62)/'2023'!F62</f>
        <v>1.2</v>
      </c>
      <c r="G55" s="73" t="n">
        <f aca="false">(G52-'2023'!G62)/'2023'!G62</f>
        <v>0.2</v>
      </c>
      <c r="H55" s="73" t="n">
        <f aca="false">(H52-'2023'!H62)/'2023'!H62</f>
        <v>0</v>
      </c>
      <c r="I55" s="73" t="n">
        <f aca="false">(I52-'2023'!I62)/'2023'!I62</f>
        <v>0.2</v>
      </c>
      <c r="J55" s="73" t="n">
        <f aca="false">(J52-'2023'!J62)/'2023'!J62</f>
        <v>-0.09090909091</v>
      </c>
      <c r="K55" s="73" t="n">
        <f aca="false">(K52-'2023'!K62)/'2023'!K62</f>
        <v>-0.1666666667</v>
      </c>
      <c r="L55" s="73" t="n">
        <f aca="false">(L52-'2023'!L62)/'2023'!L62</f>
        <v>0.9</v>
      </c>
      <c r="M55" s="73" t="n">
        <f aca="false">(M52-'2023'!M62)/'2023'!M62</f>
        <v>1</v>
      </c>
      <c r="N55" s="73" t="n">
        <f aca="false">(N52-'2023'!N62)/'2023'!N62</f>
        <v>0.4444444444</v>
      </c>
      <c r="O55" s="73" t="n">
        <f aca="false">(O53-'2023'!O62)/'2023'!O62</f>
        <v>4.457943925</v>
      </c>
      <c r="P55" s="73" t="s">
        <v>42</v>
      </c>
      <c r="Q55" s="73" t="s">
        <v>42</v>
      </c>
    </row>
    <row r="56" customFormat="false" ht="15.75" hidden="false" customHeight="false" outlineLevel="0" collapsed="false">
      <c r="B56" s="2" t="s">
        <v>57</v>
      </c>
      <c r="C56" s="2" t="n">
        <f aca="false">5622*31+2000</f>
        <v>176282</v>
      </c>
      <c r="D56" s="0" t="n">
        <f aca="false">4630*29</f>
        <v>134270</v>
      </c>
      <c r="E56" s="2" t="n">
        <f aca="false">9000+5044*31</f>
        <v>165364</v>
      </c>
      <c r="F56" s="2" t="n">
        <f aca="false">5882*30</f>
        <v>176460</v>
      </c>
      <c r="G56" s="0" t="n">
        <f aca="false">5426*31</f>
        <v>168206</v>
      </c>
      <c r="H56" s="0" t="n">
        <f aca="false">5531*30</f>
        <v>165930</v>
      </c>
      <c r="I56" s="0" t="n">
        <f aca="false">4670*31</f>
        <v>144770</v>
      </c>
      <c r="J56" s="2" t="n">
        <v>169919</v>
      </c>
      <c r="K56" s="0" t="n">
        <f aca="false">5008*30</f>
        <v>150240</v>
      </c>
      <c r="L56" s="0" t="n">
        <f aca="false">3574*31</f>
        <v>110794</v>
      </c>
      <c r="M56" s="0" t="n">
        <f aca="false">5349*30</f>
        <v>160470</v>
      </c>
      <c r="N56" s="0" t="n">
        <f aca="false">4321*31</f>
        <v>133951</v>
      </c>
      <c r="O56" s="0" t="n">
        <f aca="false">SUM(C56:N56)</f>
        <v>1856656</v>
      </c>
      <c r="P56" s="0" t="n">
        <f aca="false">AVERAGE(C56:N56)</f>
        <v>154721.333333333</v>
      </c>
      <c r="Q56" s="0" t="n">
        <f aca="false">MEDIAN(C56:N56)</f>
        <v>162917</v>
      </c>
    </row>
    <row r="57" customFormat="false" ht="15.75" hidden="false" customHeight="false" outlineLevel="0" collapsed="false">
      <c r="B57" s="2" t="s">
        <v>58</v>
      </c>
      <c r="C57" s="2" t="n">
        <v>0</v>
      </c>
      <c r="D57" s="2" t="n">
        <v>0</v>
      </c>
      <c r="E57" s="2" t="n">
        <v>0</v>
      </c>
      <c r="F57" s="2" t="n">
        <v>81362</v>
      </c>
      <c r="G57" s="2" t="n">
        <v>330470</v>
      </c>
      <c r="H57" s="2" t="n">
        <v>336106</v>
      </c>
      <c r="I57" s="2" t="n">
        <v>280549</v>
      </c>
      <c r="J57" s="2" t="n">
        <v>216109</v>
      </c>
      <c r="K57" s="2" t="n">
        <v>257520</v>
      </c>
      <c r="L57" s="2" t="n">
        <v>328454</v>
      </c>
      <c r="M57" s="2" t="n">
        <v>240453</v>
      </c>
      <c r="N57" s="2" t="n">
        <v>269715</v>
      </c>
      <c r="O57" s="0" t="n">
        <f aca="false">SUM(C57:N57)</f>
        <v>2340738</v>
      </c>
      <c r="P57" s="0" t="n">
        <f aca="false">AVERAGE(C57:N57)</f>
        <v>195061.5</v>
      </c>
      <c r="Q57" s="0" t="n">
        <f aca="false">MEDIAN(C57:N57)</f>
        <v>248986.5</v>
      </c>
    </row>
    <row r="58" customFormat="false" ht="15.75" hidden="false" customHeight="false" outlineLevel="0" collapsed="false">
      <c r="B58" s="69" t="s">
        <v>59</v>
      </c>
      <c r="C58" s="87" t="n">
        <f aca="false">SUM(C56:C57)</f>
        <v>176282</v>
      </c>
      <c r="D58" s="87" t="n">
        <f aca="false">SUM(D56:D57)</f>
        <v>134270</v>
      </c>
      <c r="E58" s="87" t="n">
        <f aca="false">SUM(E56:E57)</f>
        <v>165364</v>
      </c>
      <c r="F58" s="87" t="n">
        <f aca="false">SUM(F56:F57)</f>
        <v>257822</v>
      </c>
      <c r="G58" s="87" t="n">
        <f aca="false">SUM(G56:G57)</f>
        <v>498676</v>
      </c>
      <c r="H58" s="87" t="n">
        <f aca="false">SUM(H56:H57)</f>
        <v>502036</v>
      </c>
      <c r="I58" s="87" t="n">
        <f aca="false">SUM(I56:I57)</f>
        <v>425319</v>
      </c>
      <c r="J58" s="87" t="n">
        <f aca="false">SUM(J56:J57)</f>
        <v>386028</v>
      </c>
      <c r="K58" s="87" t="n">
        <f aca="false">SUM(K56:K57)</f>
        <v>407760</v>
      </c>
      <c r="L58" s="87" t="n">
        <f aca="false">SUM(L56:L57)</f>
        <v>439248</v>
      </c>
      <c r="M58" s="87" t="n">
        <f aca="false">SUM(M56:M57)</f>
        <v>400923</v>
      </c>
      <c r="N58" s="87" t="n">
        <f aca="false">SUM(N56:N57)</f>
        <v>403666</v>
      </c>
      <c r="O58" s="87" t="n">
        <f aca="false">SUM(C58:N58)</f>
        <v>4197394</v>
      </c>
      <c r="P58" s="87" t="n">
        <f aca="false">AVERAGE(C58:N58)</f>
        <v>349782.833333333</v>
      </c>
      <c r="Q58" s="87" t="n">
        <f aca="false">MEDIAN(C58:N58)</f>
        <v>402294.5</v>
      </c>
    </row>
    <row r="59" customFormat="false" ht="16.5" hidden="false" customHeight="true" outlineLevel="0" collapsed="false">
      <c r="B59" s="69" t="s">
        <v>60</v>
      </c>
      <c r="C59" s="88" t="n">
        <f aca="false">C58/31</f>
        <v>5686.51612903226</v>
      </c>
      <c r="D59" s="88" t="n">
        <f aca="false">D58/31</f>
        <v>4331.29032258065</v>
      </c>
      <c r="E59" s="88" t="n">
        <f aca="false">E58/31</f>
        <v>5334.32258064516</v>
      </c>
      <c r="F59" s="88" t="n">
        <f aca="false">F58/30</f>
        <v>8594.06666666667</v>
      </c>
      <c r="G59" s="88" t="n">
        <f aca="false">G58/30</f>
        <v>16622.5333333333</v>
      </c>
      <c r="H59" s="88" t="n">
        <f aca="false">H58/30</f>
        <v>16734.5333333333</v>
      </c>
      <c r="I59" s="88" t="n">
        <f aca="false">I58/30</f>
        <v>14177.3</v>
      </c>
      <c r="J59" s="88" t="n">
        <f aca="false">J58/30</f>
        <v>12867.6</v>
      </c>
      <c r="K59" s="88" t="n">
        <f aca="false">K58/30</f>
        <v>13592</v>
      </c>
      <c r="L59" s="88" t="n">
        <f aca="false">L58/30</f>
        <v>14641.6</v>
      </c>
      <c r="M59" s="88" t="n">
        <f aca="false">M58/30</f>
        <v>13364.1</v>
      </c>
      <c r="N59" s="88" t="n">
        <f aca="false">N58/30</f>
        <v>13455.5333333333</v>
      </c>
      <c r="O59" s="73" t="s">
        <v>42</v>
      </c>
      <c r="P59" s="89" t="n">
        <f aca="false">AVERAGE(C59:N59)</f>
        <v>11616.7829749104</v>
      </c>
      <c r="Q59" s="89" t="n">
        <f aca="false">MEDIAN(C59:N59)</f>
        <v>13409.8166666667</v>
      </c>
    </row>
    <row r="60" customFormat="false" ht="16.5" hidden="false" customHeight="true" outlineLevel="0" collapsed="false">
      <c r="B60" s="69" t="s">
        <v>44</v>
      </c>
      <c r="C60" s="78" t="n">
        <f aca="false">(C56-'2023'!N65)/'2023'!N65</f>
        <v>-0.08986617653</v>
      </c>
      <c r="D60" s="78" t="n">
        <f aca="false">(D59-C59)/C59</f>
        <v>-0.238322687512055</v>
      </c>
      <c r="E60" s="78" t="n">
        <f aca="false">(E59-D59)/D59</f>
        <v>0.2315781634021</v>
      </c>
      <c r="F60" s="78" t="n">
        <f aca="false">(F59-E59)/E59</f>
        <v>0.611088669037195</v>
      </c>
      <c r="G60" s="78" t="n">
        <f aca="false">(G59-F59)/F59</f>
        <v>0.934187152376446</v>
      </c>
      <c r="H60" s="78" t="n">
        <f aca="false">(H59-G59)/G59</f>
        <v>0.00673784180509991</v>
      </c>
      <c r="I60" s="78" t="n">
        <f aca="false">(I59-H59)/H59</f>
        <v>-0.152811750551753</v>
      </c>
      <c r="J60" s="78" t="n">
        <f aca="false">(J59-I59)/I59</f>
        <v>-0.0923800723692099</v>
      </c>
      <c r="K60" s="78" t="n">
        <f aca="false">(K59-J59)/J59</f>
        <v>0.0562964344555317</v>
      </c>
      <c r="L60" s="78" t="n">
        <f aca="false">(L59-K59)/K59</f>
        <v>0.0772218952324897</v>
      </c>
      <c r="M60" s="78" t="n">
        <f aca="false">(M59-L59)/L59</f>
        <v>-0.0872513932903508</v>
      </c>
      <c r="N60" s="78" t="n">
        <f aca="false">(N59-M59)/M59</f>
        <v>0.00684171274783431</v>
      </c>
      <c r="O60" s="73" t="s">
        <v>42</v>
      </c>
      <c r="P60" s="73" t="s">
        <v>42</v>
      </c>
      <c r="Q60" s="73" t="s">
        <v>42</v>
      </c>
    </row>
    <row r="61" customFormat="false" ht="15.75" hidden="false" customHeight="false" outlineLevel="0" collapsed="false">
      <c r="B61" s="69" t="s">
        <v>45</v>
      </c>
      <c r="C61" s="84" t="s">
        <v>53</v>
      </c>
      <c r="D61" s="84" t="s">
        <v>53</v>
      </c>
      <c r="E61" s="84" t="s">
        <v>53</v>
      </c>
      <c r="F61" s="84" t="s">
        <v>53</v>
      </c>
      <c r="G61" s="84" t="s">
        <v>53</v>
      </c>
      <c r="H61" s="84" t="s">
        <v>53</v>
      </c>
      <c r="I61" s="84" t="s">
        <v>53</v>
      </c>
      <c r="J61" s="84" t="s">
        <v>53</v>
      </c>
      <c r="K61" s="84" t="s">
        <v>53</v>
      </c>
      <c r="L61" s="84" t="s">
        <v>53</v>
      </c>
      <c r="M61" s="84" t="s">
        <v>53</v>
      </c>
      <c r="N61" s="84" t="s">
        <v>53</v>
      </c>
      <c r="O61" s="73" t="s">
        <v>42</v>
      </c>
      <c r="P61" s="73" t="s">
        <v>42</v>
      </c>
      <c r="Q61" s="73" t="s">
        <v>42</v>
      </c>
    </row>
    <row r="62" customFormat="false" ht="15.75" hidden="false" customHeight="false" outlineLevel="0" collapsed="false">
      <c r="B62" s="2" t="s">
        <v>77</v>
      </c>
      <c r="C62" s="2" t="n">
        <v>4</v>
      </c>
      <c r="D62" s="2" t="n">
        <v>4</v>
      </c>
      <c r="E62" s="2" t="n">
        <v>4</v>
      </c>
      <c r="F62" s="2" t="n">
        <v>3</v>
      </c>
      <c r="M62" s="2" t="n">
        <v>4</v>
      </c>
      <c r="N62" s="2" t="n">
        <v>1</v>
      </c>
      <c r="O62" s="0" t="n">
        <f aca="false">SUM(C62:N62)</f>
        <v>20</v>
      </c>
    </row>
    <row r="63" customFormat="false" ht="15.75" hidden="false" customHeight="false" outlineLevel="0" collapsed="false">
      <c r="B63" s="69" t="s">
        <v>44</v>
      </c>
    </row>
    <row r="64" customFormat="false" ht="15.75" hidden="false" customHeight="false" outlineLevel="0" collapsed="false">
      <c r="B64" s="69" t="s">
        <v>45</v>
      </c>
    </row>
    <row r="65" customFormat="false" ht="15.75" hidden="false" customHeight="false" outlineLevel="0" collapsed="false">
      <c r="B65" s="2" t="s">
        <v>61</v>
      </c>
      <c r="C65" s="2" t="n">
        <v>1</v>
      </c>
      <c r="D65" s="2" t="n">
        <v>3</v>
      </c>
      <c r="E65" s="2" t="n">
        <v>4</v>
      </c>
      <c r="F65" s="2" t="n">
        <v>4</v>
      </c>
      <c r="M65" s="2" t="n">
        <v>5</v>
      </c>
      <c r="N65" s="2" t="n">
        <v>5</v>
      </c>
      <c r="O65" s="0" t="n">
        <f aca="false">SUM(C65:N65)</f>
        <v>22</v>
      </c>
    </row>
    <row r="66" customFormat="false" ht="15.75" hidden="false" customHeight="false" outlineLevel="0" collapsed="false">
      <c r="B66" s="69" t="s">
        <v>44</v>
      </c>
    </row>
    <row r="67" customFormat="false" ht="15.75" hidden="false" customHeight="false" outlineLevel="0" collapsed="false">
      <c r="B67" s="69" t="s">
        <v>45</v>
      </c>
    </row>
    <row r="68" customFormat="false" ht="15.75" hidden="false" customHeight="false" outlineLevel="0" collapsed="false">
      <c r="B68" s="2" t="s">
        <v>92</v>
      </c>
      <c r="C68" s="0" t="n">
        <f aca="false">C62+C65</f>
        <v>5</v>
      </c>
      <c r="D68" s="0" t="n">
        <f aca="false">D62+D65</f>
        <v>7</v>
      </c>
      <c r="E68" s="0" t="n">
        <f aca="false">E62+E65</f>
        <v>8</v>
      </c>
      <c r="F68" s="0" t="n">
        <f aca="false">F62+F65</f>
        <v>7</v>
      </c>
      <c r="G68" s="0" t="n">
        <f aca="false">G62+G65</f>
        <v>0</v>
      </c>
      <c r="H68" s="0" t="n">
        <f aca="false">H62+H65</f>
        <v>0</v>
      </c>
      <c r="I68" s="0" t="n">
        <f aca="false">I62+I65</f>
        <v>0</v>
      </c>
      <c r="J68" s="0" t="n">
        <f aca="false">J62+J65</f>
        <v>0</v>
      </c>
      <c r="K68" s="0" t="n">
        <f aca="false">K62+K65</f>
        <v>0</v>
      </c>
      <c r="L68" s="0" t="n">
        <f aca="false">L62+L65</f>
        <v>0</v>
      </c>
      <c r="M68" s="0" t="n">
        <f aca="false">M62+M65</f>
        <v>9</v>
      </c>
      <c r="N68" s="0" t="n">
        <f aca="false">N62+N65</f>
        <v>6</v>
      </c>
      <c r="O68" s="0" t="n">
        <f aca="false">SUM(C68:N68)</f>
        <v>42</v>
      </c>
      <c r="P68" s="0" t="n">
        <f aca="false">AVERAGE(C68:N68)</f>
        <v>3.5</v>
      </c>
      <c r="Q68" s="0" t="n">
        <f aca="false">MEDIAN(C68:N68)</f>
        <v>2.5</v>
      </c>
    </row>
    <row r="70" customFormat="false" ht="15.75" hidden="false" customHeight="false" outlineLevel="0" collapsed="false">
      <c r="B70" s="2" t="s">
        <v>93</v>
      </c>
    </row>
    <row r="71" customFormat="false" ht="15.75" hidden="false" customHeight="false" outlineLevel="0" collapsed="false">
      <c r="B71" s="2" t="s">
        <v>94</v>
      </c>
    </row>
    <row r="72" customFormat="false" ht="15.75" hidden="false" customHeight="false" outlineLevel="0" collapsed="false">
      <c r="B72" s="2" t="s">
        <v>95</v>
      </c>
    </row>
    <row r="73" customFormat="false" ht="15.75" hidden="false" customHeight="false" outlineLevel="0" collapsed="false">
      <c r="B73" s="2" t="s">
        <v>96</v>
      </c>
    </row>
    <row r="74" customFormat="false" ht="15.75" hidden="false" customHeight="false" outlineLevel="0" collapsed="false">
      <c r="C74" s="77"/>
    </row>
    <row r="79" customFormat="false" ht="15.75" hidden="false" customHeight="false" outlineLevel="0" collapsed="false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3"/>
      <c r="P79" s="1"/>
      <c r="Q79" s="1"/>
    </row>
  </sheetData>
  <mergeCells count="14">
    <mergeCell ref="D2:F2"/>
    <mergeCell ref="D3:H3"/>
    <mergeCell ref="J3:K3"/>
    <mergeCell ref="D4:F4"/>
    <mergeCell ref="D5:F5"/>
    <mergeCell ref="D6:F6"/>
    <mergeCell ref="D7:F7"/>
    <mergeCell ref="D8:K8"/>
    <mergeCell ref="D9:F9"/>
    <mergeCell ref="D10:F10"/>
    <mergeCell ref="D11:F11"/>
    <mergeCell ref="B13:Q13"/>
    <mergeCell ref="B35:Q35"/>
    <mergeCell ref="B50:Q50"/>
  </mergeCells>
  <conditionalFormatting sqref="K4:K7 M5:M7 K9:K11 M9:M11">
    <cfRule type="cellIs" priority="2" operator="lessThan" aboveAverage="0" equalAverage="0" bottom="0" percent="0" rank="0" text="" dxfId="0">
      <formula>0.35</formula>
    </cfRule>
  </conditionalFormatting>
  <conditionalFormatting sqref="K4:K7 M5:M7 K9:K11 M9:M11">
    <cfRule type="cellIs" priority="3" operator="between" aboveAverage="0" equalAverage="0" bottom="0" percent="0" rank="0" text="" dxfId="1">
      <formula>0.36</formula>
      <formula>0.6</formula>
    </cfRule>
  </conditionalFormatting>
  <conditionalFormatting sqref="K4:K7 M5:M7 K9:K11 M9:M11">
    <cfRule type="cellIs" priority="4" operator="between" aboveAverage="0" equalAverage="0" bottom="0" percent="0" rank="0" text="" dxfId="2">
      <formula>0.6</formula>
      <formula>0.85</formula>
    </cfRule>
  </conditionalFormatting>
  <conditionalFormatting sqref="K4:K7 M5:M7 K9:K11 M9:M11">
    <cfRule type="cellIs" priority="5" operator="between" aboveAverage="0" equalAverage="0" bottom="0" percent="0" rank="0" text="" dxfId="3">
      <formula>0.86</formula>
      <formula>0.99</formula>
    </cfRule>
  </conditionalFormatting>
  <conditionalFormatting sqref="K4:K7 M5:M7 K9:K11 M9:M11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8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"/>
    <col collapsed="false" customWidth="true" hidden="false" outlineLevel="0" max="3" min="3" style="0" width="9.88"/>
    <col collapsed="false" customWidth="true" hidden="false" outlineLevel="0" max="4" min="4" style="0" width="10.75"/>
    <col collapsed="false" customWidth="true" hidden="false" outlineLevel="0" max="5" min="5" style="0" width="10"/>
    <col collapsed="false" customWidth="true" hidden="false" outlineLevel="0" max="6" min="6" style="0" width="10.51"/>
    <col collapsed="false" customWidth="true" hidden="false" outlineLevel="0" max="9" min="7" style="0" width="9.51"/>
    <col collapsed="false" customWidth="true" hidden="false" outlineLevel="0" max="10" min="10" style="0" width="9.88"/>
    <col collapsed="false" customWidth="true" hidden="false" outlineLevel="0" max="11" min="11" style="0" width="9.13"/>
    <col collapsed="false" customWidth="true" hidden="false" outlineLevel="0" max="12" min="12" style="0" width="11.25"/>
    <col collapsed="false" customWidth="true" hidden="false" outlineLevel="0" max="16" min="16" style="0" width="11.63"/>
  </cols>
  <sheetData>
    <row r="1" customFormat="false" ht="15.75" hidden="false" customHeight="false" outlineLevel="0" collapsed="false">
      <c r="A1" s="2" t="s">
        <v>97</v>
      </c>
    </row>
    <row r="2" customFormat="false" ht="15.75" hidden="false" customHeight="false" outlineLevel="0" collapsed="false">
      <c r="D2" s="48" t="s">
        <v>84</v>
      </c>
      <c r="E2" s="48"/>
      <c r="F2" s="48"/>
      <c r="G2" s="49" t="n">
        <v>2022</v>
      </c>
      <c r="H2" s="49" t="s">
        <v>98</v>
      </c>
      <c r="I2" s="49" t="s">
        <v>99</v>
      </c>
      <c r="J2" s="49" t="s">
        <v>100</v>
      </c>
      <c r="K2" s="49" t="s">
        <v>100</v>
      </c>
      <c r="L2" s="49" t="s">
        <v>9</v>
      </c>
      <c r="M2" s="49" t="s">
        <v>11</v>
      </c>
      <c r="N2" s="49" t="s">
        <v>101</v>
      </c>
      <c r="P2" s="2" t="s">
        <v>102</v>
      </c>
    </row>
    <row r="3" customFormat="false" ht="15.75" hidden="false" customHeight="false" outlineLevel="0" collapsed="false">
      <c r="D3" s="60" t="s">
        <v>12</v>
      </c>
      <c r="E3" s="60"/>
      <c r="F3" s="60"/>
      <c r="G3" s="60"/>
      <c r="H3" s="60"/>
      <c r="I3" s="60"/>
      <c r="J3" s="60"/>
      <c r="K3" s="60"/>
      <c r="L3" s="92" t="n">
        <v>45291</v>
      </c>
      <c r="M3" s="53"/>
      <c r="N3" s="53"/>
    </row>
    <row r="4" customFormat="false" ht="17.65" hidden="false" customHeight="false" outlineLevel="0" collapsed="false">
      <c r="D4" s="54" t="s">
        <v>103</v>
      </c>
      <c r="E4" s="54"/>
      <c r="F4" s="54"/>
      <c r="G4" s="55" t="n">
        <f aca="false">'2022'!J4</f>
        <v>5033.684167</v>
      </c>
      <c r="H4" s="93" t="s">
        <v>104</v>
      </c>
      <c r="I4" s="93"/>
      <c r="J4" s="93"/>
      <c r="K4" s="93"/>
      <c r="L4" s="94" t="n">
        <f aca="false">P25</f>
        <v>5477.5</v>
      </c>
      <c r="M4" s="57" t="n">
        <f aca="false">5000/L4</f>
        <v>0.912825194</v>
      </c>
      <c r="N4" s="57"/>
      <c r="P4" s="2" t="s">
        <v>105</v>
      </c>
    </row>
    <row r="5" customFormat="false" ht="17.65" hidden="false" customHeight="false" outlineLevel="0" collapsed="false">
      <c r="D5" s="54" t="s">
        <v>106</v>
      </c>
      <c r="E5" s="54"/>
      <c r="F5" s="54"/>
      <c r="G5" s="56" t="n">
        <f aca="false">22.6%</f>
        <v>0.226</v>
      </c>
      <c r="H5" s="93" t="s">
        <v>104</v>
      </c>
      <c r="I5" s="93"/>
      <c r="J5" s="93"/>
      <c r="K5" s="93"/>
      <c r="L5" s="95" t="n">
        <f aca="false">O33</f>
        <v>0.1857411392</v>
      </c>
      <c r="M5" s="57" t="n">
        <f aca="false">(L5+1)/(1.07)</f>
        <v>1.108169289</v>
      </c>
      <c r="N5" s="57" t="n">
        <f aca="false">(L5+1)/(MONTH(DATEVALUE(L3))*((1.07)/12))</f>
        <v>1.108169289</v>
      </c>
      <c r="P5" s="2" t="s">
        <v>107</v>
      </c>
    </row>
    <row r="6" customFormat="false" ht="17.65" hidden="false" customHeight="false" outlineLevel="0" collapsed="false">
      <c r="D6" s="54" t="s">
        <v>108</v>
      </c>
      <c r="E6" s="54"/>
      <c r="F6" s="54"/>
      <c r="G6" s="96" t="n">
        <v>47</v>
      </c>
      <c r="H6" s="93" t="s">
        <v>104</v>
      </c>
      <c r="I6" s="93"/>
      <c r="J6" s="93"/>
      <c r="K6" s="93"/>
      <c r="L6" s="97" t="n">
        <f aca="false">P34*100</f>
        <v>49.93476854</v>
      </c>
      <c r="M6" s="98" t="n">
        <f aca="false">L6/50</f>
        <v>0.9986953708</v>
      </c>
      <c r="N6" s="98"/>
      <c r="P6" s="2" t="s">
        <v>109</v>
      </c>
    </row>
    <row r="7" customFormat="false" ht="17.65" hidden="false" customHeight="false" outlineLevel="0" collapsed="false">
      <c r="D7" s="54" t="s">
        <v>18</v>
      </c>
      <c r="E7" s="54"/>
      <c r="F7" s="54"/>
      <c r="G7" s="54" t="n">
        <v>4</v>
      </c>
      <c r="H7" s="93" t="s">
        <v>104</v>
      </c>
      <c r="I7" s="93"/>
      <c r="J7" s="93"/>
      <c r="K7" s="93"/>
      <c r="L7" s="99" t="n">
        <v>6</v>
      </c>
      <c r="M7" s="57" t="n">
        <f aca="false">L7/3</f>
        <v>2</v>
      </c>
      <c r="N7" s="57" t="n">
        <f aca="false">L7/(MONTH(DATEVALUE(L3))*(3/12))</f>
        <v>2</v>
      </c>
      <c r="P7" s="2" t="s">
        <v>110</v>
      </c>
    </row>
    <row r="8" customFormat="false" ht="15.75" hidden="false" customHeight="false" outlineLevel="0" collapsed="false">
      <c r="D8" s="60" t="s">
        <v>111</v>
      </c>
      <c r="E8" s="60"/>
      <c r="F8" s="60"/>
      <c r="G8" s="60"/>
      <c r="H8" s="60"/>
      <c r="I8" s="60"/>
      <c r="J8" s="60"/>
      <c r="K8" s="60"/>
      <c r="L8" s="60"/>
      <c r="M8" s="60"/>
      <c r="N8" s="60"/>
    </row>
    <row r="9" customFormat="false" ht="17.65" hidden="false" customHeight="false" outlineLevel="0" collapsed="false">
      <c r="D9" s="54" t="s">
        <v>112</v>
      </c>
      <c r="E9" s="54"/>
      <c r="F9" s="54"/>
      <c r="G9" s="96" t="s">
        <v>42</v>
      </c>
      <c r="H9" s="100"/>
      <c r="I9" s="101"/>
      <c r="J9" s="93" t="s">
        <v>35</v>
      </c>
      <c r="K9" s="100"/>
      <c r="L9" s="102" t="n">
        <v>100</v>
      </c>
      <c r="M9" s="57" t="n">
        <f aca="false">(L9)/100</f>
        <v>1</v>
      </c>
      <c r="N9" s="57" t="n">
        <f aca="false">M9</f>
        <v>1</v>
      </c>
      <c r="P9" s="2" t="s">
        <v>113</v>
      </c>
    </row>
    <row r="10" customFormat="false" ht="15.75" hidden="false" customHeight="false" outlineLevel="0" collapsed="false">
      <c r="D10" s="60" t="s">
        <v>19</v>
      </c>
      <c r="E10" s="60"/>
      <c r="F10" s="60"/>
      <c r="G10" s="60"/>
      <c r="H10" s="60"/>
      <c r="I10" s="60"/>
      <c r="J10" s="60"/>
      <c r="K10" s="60"/>
      <c r="L10" s="60"/>
      <c r="M10" s="60"/>
      <c r="N10" s="60"/>
    </row>
    <row r="11" customFormat="false" ht="17.65" hidden="false" customHeight="false" outlineLevel="0" collapsed="false">
      <c r="D11" s="54" t="s">
        <v>114</v>
      </c>
      <c r="E11" s="54"/>
      <c r="F11" s="54"/>
      <c r="G11" s="96" t="n">
        <f aca="false">'2022'!J13</f>
        <v>103</v>
      </c>
      <c r="H11" s="93" t="s">
        <v>104</v>
      </c>
      <c r="I11" s="93"/>
      <c r="J11" s="93"/>
      <c r="K11" s="93"/>
      <c r="L11" s="102" t="n">
        <f aca="false">O62</f>
        <v>107</v>
      </c>
      <c r="M11" s="57" t="n">
        <f aca="false">L11/100</f>
        <v>1.07</v>
      </c>
      <c r="N11" s="57" t="n">
        <f aca="false">L11/(MONTH(DATEVALUE(L3))*(100/12))</f>
        <v>1.07</v>
      </c>
      <c r="P11" s="2" t="s">
        <v>115</v>
      </c>
    </row>
    <row r="12" customFormat="false" ht="17.65" hidden="false" customHeight="false" outlineLevel="0" collapsed="false">
      <c r="D12" s="54" t="s">
        <v>116</v>
      </c>
      <c r="E12" s="54"/>
      <c r="F12" s="54"/>
      <c r="G12" s="96" t="n">
        <v>4700</v>
      </c>
      <c r="H12" s="93" t="s">
        <v>104</v>
      </c>
      <c r="I12" s="93"/>
      <c r="J12" s="93"/>
      <c r="K12" s="93"/>
      <c r="L12" s="103" t="n">
        <f aca="false">P66</f>
        <v>5796.111111</v>
      </c>
      <c r="M12" s="57" t="n">
        <f aca="false">L12/6000</f>
        <v>0.9660185185</v>
      </c>
      <c r="N12" s="57"/>
      <c r="P12" s="2" t="s">
        <v>117</v>
      </c>
    </row>
    <row r="13" customFormat="false" ht="17.65" hidden="false" customHeight="false" outlineLevel="0" collapsed="false">
      <c r="D13" s="54" t="s">
        <v>88</v>
      </c>
      <c r="E13" s="54"/>
      <c r="F13" s="54"/>
      <c r="G13" s="96" t="n">
        <f aca="false">4445+1992</f>
        <v>6437</v>
      </c>
      <c r="H13" s="93" t="s">
        <v>104</v>
      </c>
      <c r="I13" s="93"/>
      <c r="J13" s="93"/>
      <c r="K13" s="93"/>
      <c r="L13" s="102" t="n">
        <f aca="false">O49</f>
        <v>4640.43</v>
      </c>
      <c r="M13" s="57" t="n">
        <f aca="false">(6437*0.9)/L13</f>
        <v>1.248440339</v>
      </c>
      <c r="N13" s="57" t="n">
        <f aca="false">(6437*0.9/12*MONTH(DATEVALUE(L3)))/L13</f>
        <v>1.248440339</v>
      </c>
      <c r="P13" s="2" t="s">
        <v>118</v>
      </c>
    </row>
    <row r="15" customFormat="false" ht="22.05" hidden="false" customHeight="false" outlineLevel="0" collapsed="false">
      <c r="B15" s="64" t="s">
        <v>26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</row>
    <row r="16" customFormat="false" ht="15.75" hidden="false" customHeight="false" outlineLevel="0" collapsed="false">
      <c r="B16" s="1"/>
      <c r="C16" s="65" t="s">
        <v>27</v>
      </c>
      <c r="D16" s="65" t="s">
        <v>28</v>
      </c>
      <c r="E16" s="65" t="s">
        <v>29</v>
      </c>
      <c r="F16" s="65" t="s">
        <v>30</v>
      </c>
      <c r="G16" s="65" t="s">
        <v>31</v>
      </c>
      <c r="H16" s="65" t="s">
        <v>32</v>
      </c>
      <c r="I16" s="65" t="s">
        <v>33</v>
      </c>
      <c r="J16" s="65" t="s">
        <v>34</v>
      </c>
      <c r="K16" s="65" t="s">
        <v>35</v>
      </c>
      <c r="L16" s="65" t="s">
        <v>36</v>
      </c>
      <c r="M16" s="65" t="s">
        <v>37</v>
      </c>
      <c r="N16" s="65" t="s">
        <v>38</v>
      </c>
      <c r="O16" s="65" t="s">
        <v>39</v>
      </c>
      <c r="P16" s="66" t="s">
        <v>40</v>
      </c>
      <c r="Q16" s="66" t="s">
        <v>41</v>
      </c>
    </row>
    <row r="17" customFormat="false" ht="15.75" hidden="false" customHeight="false" outlineLevel="0" collapsed="false">
      <c r="B17" s="67" t="s">
        <v>4</v>
      </c>
      <c r="C17" s="74" t="n">
        <v>587653</v>
      </c>
      <c r="D17" s="74" t="n">
        <v>610774</v>
      </c>
      <c r="E17" s="74" t="n">
        <v>647387</v>
      </c>
      <c r="F17" s="74" t="n">
        <v>671069</v>
      </c>
      <c r="G17" s="74" t="n">
        <v>703830</v>
      </c>
      <c r="H17" s="74" t="n">
        <v>719421</v>
      </c>
      <c r="I17" s="74" t="n">
        <v>733363</v>
      </c>
      <c r="J17" s="74" t="n">
        <v>747238</v>
      </c>
      <c r="K17" s="74" t="n">
        <v>745430</v>
      </c>
      <c r="L17" s="74" t="n">
        <v>750368</v>
      </c>
      <c r="M17" s="2" t="n">
        <v>782722</v>
      </c>
      <c r="N17" s="74" t="n">
        <v>788106</v>
      </c>
      <c r="O17" s="2" t="n">
        <f aca="false">IFERROR(LOOKUP(9^9,C17:N17),"")</f>
        <v>788106</v>
      </c>
      <c r="P17" s="2" t="s">
        <v>42</v>
      </c>
      <c r="Q17" s="2" t="s">
        <v>42</v>
      </c>
    </row>
    <row r="18" customFormat="false" ht="15.75" hidden="false" customHeight="false" outlineLevel="0" collapsed="false">
      <c r="B18" s="69" t="s">
        <v>43</v>
      </c>
      <c r="C18" s="104" t="n">
        <f aca="false">IF(C17&gt;0,C17-'2022'!N27,"")</f>
        <v>51823.46</v>
      </c>
      <c r="D18" s="104" t="n">
        <f aca="false">IF(D17&gt;0,D17-C17,"")</f>
        <v>23121</v>
      </c>
      <c r="E18" s="104" t="n">
        <f aca="false">IF(E17&gt;0,E17-D17,"")</f>
        <v>36613</v>
      </c>
      <c r="F18" s="104" t="n">
        <f aca="false">IF(F17&gt;0,F17-E17,"")</f>
        <v>23682</v>
      </c>
      <c r="G18" s="104" t="n">
        <f aca="false">IF(G17&gt;0,G17-F17,"")</f>
        <v>32761</v>
      </c>
      <c r="H18" s="104" t="n">
        <f aca="false">IF(H17&gt;0,H17-G17,"")</f>
        <v>15591</v>
      </c>
      <c r="I18" s="104" t="n">
        <f aca="false">IF(I17&gt;0,I17-H17,"")</f>
        <v>13942</v>
      </c>
      <c r="J18" s="104" t="n">
        <f aca="false">IF(J17&gt;0,J17-I17,"")</f>
        <v>13875</v>
      </c>
      <c r="K18" s="104" t="n">
        <f aca="false">IF(K17&gt;0,K17-J17,"")</f>
        <v>-1808</v>
      </c>
      <c r="L18" s="104" t="n">
        <f aca="false">IF(L17&gt;0,L17-K17,"")</f>
        <v>4938</v>
      </c>
      <c r="M18" s="104" t="n">
        <f aca="false">IF(M17&gt;0,M17-L17,"")</f>
        <v>32354</v>
      </c>
      <c r="N18" s="104" t="n">
        <f aca="false">IF(N17&gt;0,N17-M17,"")</f>
        <v>5384</v>
      </c>
      <c r="O18" s="71" t="n">
        <f aca="false">SUM(C18:N18)</f>
        <v>252276.46</v>
      </c>
      <c r="P18" s="71" t="n">
        <f aca="false">AVERAGE(C18:N18)</f>
        <v>21023.0383333333</v>
      </c>
      <c r="Q18" s="71" t="n">
        <f aca="false">MEDIAN(C18:N18)</f>
        <v>19356</v>
      </c>
    </row>
    <row r="19" customFormat="false" ht="15.75" hidden="false" customHeight="false" outlineLevel="0" collapsed="false">
      <c r="B19" s="69" t="s">
        <v>44</v>
      </c>
      <c r="C19" s="72" t="n">
        <f aca="false">IF(C17&gt;0,(C17-'2022'!N27)/'2022'!N27,"")</f>
        <v>0.09671631766</v>
      </c>
      <c r="D19" s="72" t="n">
        <f aca="false">IF(D17&gt;0,(D17-C17)/C17,"")</f>
        <v>0.0393446472663289</v>
      </c>
      <c r="E19" s="72" t="n">
        <f aca="false">IF(E17&gt;0,(E17-D17)/D17,"")</f>
        <v>0.0599452497977976</v>
      </c>
      <c r="F19" s="72" t="n">
        <f aca="false">IF(F17&gt;0,(F17-E17)/E17,"")</f>
        <v>0.0365809013773832</v>
      </c>
      <c r="G19" s="72" t="n">
        <f aca="false">IF(G17&gt;0,(G17-F17)/F17,"")</f>
        <v>0.048819122921786</v>
      </c>
      <c r="H19" s="72" t="n">
        <f aca="false">IF(H17&gt;0,(H17-G17)/G17,"")</f>
        <v>0.0221516559396445</v>
      </c>
      <c r="I19" s="72" t="n">
        <f aca="false">IF(I17&gt;0,(I17-H17)/H17,"")</f>
        <v>0.0193794732152662</v>
      </c>
      <c r="J19" s="72" t="n">
        <f aca="false">IF(J17&gt;0,(J17-I17)/I17,"")</f>
        <v>0.0189196891580295</v>
      </c>
      <c r="K19" s="72" t="n">
        <f aca="false">IF(K17&gt;0,(K17-J17)/J17,"")</f>
        <v>-0.00241957716283166</v>
      </c>
      <c r="L19" s="72" t="n">
        <f aca="false">IF(L17&gt;0,(L17-K17)/K17,"")</f>
        <v>0.00662436446078103</v>
      </c>
      <c r="M19" s="72" t="n">
        <f aca="false">IF(M17&gt;0,(M17-L17)/L17,"")</f>
        <v>0.0431175103415924</v>
      </c>
      <c r="N19" s="72" t="n">
        <f aca="false">IF(N17&gt;0,(N17-M17)/M17,"")</f>
        <v>0.0068785596929689</v>
      </c>
      <c r="O19" s="73" t="s">
        <v>42</v>
      </c>
      <c r="P19" s="72" t="n">
        <f aca="false">AVERAGE(C19:N19)</f>
        <v>0.0330048262223956</v>
      </c>
      <c r="Q19" s="72" t="n">
        <f aca="false">MEDIAN(C19:N19)</f>
        <v>0.0293662786585139</v>
      </c>
    </row>
    <row r="20" customFormat="false" ht="15.75" hidden="false" customHeight="false" outlineLevel="0" collapsed="false">
      <c r="B20" s="69" t="s">
        <v>45</v>
      </c>
      <c r="C20" s="72" t="n">
        <f aca="false">IF(C17&gt;0,(C17-'2022'!C27)/'2022'!C27,"")</f>
        <v>0.2237289547</v>
      </c>
      <c r="D20" s="72" t="n">
        <f aca="false">IF(D17&gt;0,(D17-'2022'!D27)/'2022'!D27,"")</f>
        <v>0.233759754</v>
      </c>
      <c r="E20" s="72" t="n">
        <f aca="false">IF(E17&gt;0,(E17-'2022'!E27)/'2022'!E27,"")</f>
        <v>0.1913526743</v>
      </c>
      <c r="F20" s="72" t="n">
        <f aca="false">IF(F17&gt;0,(F17-'2022'!F27)/'2022'!F27,"")</f>
        <v>0.2243461095</v>
      </c>
      <c r="G20" s="72" t="n">
        <f aca="false">IF(G17&gt;0,(G17-'2022'!G27)/'2022'!G27,"")</f>
        <v>0.2795094514</v>
      </c>
      <c r="H20" s="72" t="n">
        <f aca="false">IF(H17&gt;0,(H17-'2022'!H27)/'2022'!H27,"")</f>
        <v>0.4060363597</v>
      </c>
      <c r="I20" s="72" t="n">
        <f aca="false">IF(I17&gt;0,(I17-'2022'!I27)/'2022'!I27,"")</f>
        <v>0.3425090112</v>
      </c>
      <c r="J20" s="72" t="n">
        <f aca="false">IF(J17&gt;0,(J17-'2022'!J27)/'2022'!J27,"")</f>
        <v>0.3460861545</v>
      </c>
      <c r="K20" s="72" t="n">
        <f aca="false">IF(K17&gt;0,(K17-'2022'!K27)/'2022'!K27,"")</f>
        <v>0.4128562087</v>
      </c>
      <c r="L20" s="72" t="n">
        <f aca="false">IF(L17&gt;0,(L17-'2022'!L27)/'2022'!L27,"")</f>
        <v>0.3740059365</v>
      </c>
      <c r="M20" s="72" t="n">
        <f aca="false">IF(M17&gt;0,(M17-'2022'!M27)/'2022'!M27,"")</f>
        <v>0.4278584185</v>
      </c>
      <c r="N20" s="72" t="n">
        <f aca="false">IF(N17&gt;0,(N17-'2022'!N27)/'2022'!N27,"")</f>
        <v>0.4708147669</v>
      </c>
      <c r="O20" s="72" t="n">
        <f aca="false">IF(O17&gt;0,(O17-'2022'!O27)/'2022'!O27,"")</f>
        <v>0.4708147669</v>
      </c>
      <c r="P20" s="72" t="n">
        <f aca="false">AVERAGE(C20:N20)</f>
        <v>0.327738649991667</v>
      </c>
      <c r="Q20" s="72" t="n">
        <f aca="false">MEDIAN(C20:N20)</f>
        <v>0.34429758285</v>
      </c>
    </row>
    <row r="21" customFormat="false" ht="15.75" hidden="false" customHeight="false" outlineLevel="0" collapsed="false">
      <c r="B21" s="67" t="s">
        <v>5</v>
      </c>
      <c r="C21" s="2" t="n">
        <v>14.07</v>
      </c>
      <c r="D21" s="2" t="n">
        <v>14.47</v>
      </c>
      <c r="E21" s="2" t="n">
        <v>14.82</v>
      </c>
      <c r="F21" s="2" t="n">
        <v>15.6</v>
      </c>
      <c r="G21" s="2" t="n">
        <v>16.5</v>
      </c>
      <c r="H21" s="2" t="n">
        <v>16.95</v>
      </c>
      <c r="I21" s="2" t="n">
        <v>19.31</v>
      </c>
      <c r="J21" s="74" t="n">
        <v>19.38</v>
      </c>
      <c r="K21" s="74" t="n">
        <v>19.33</v>
      </c>
      <c r="L21" s="74" t="n">
        <v>21.12</v>
      </c>
      <c r="M21" s="2" t="n">
        <v>22.92</v>
      </c>
      <c r="N21" s="2" t="n">
        <v>21.81</v>
      </c>
      <c r="O21" s="3" t="n">
        <f aca="false">IFERROR(LOOKUP(9^9,C21:N21),"")</f>
        <v>21.81</v>
      </c>
      <c r="P21" s="3" t="n">
        <f aca="false">AVERAGE(C21:N21)</f>
        <v>18.0233333333333</v>
      </c>
      <c r="Q21" s="3" t="n">
        <f aca="false">MEDIAN(C21:N21)</f>
        <v>18.13</v>
      </c>
    </row>
    <row r="22" customFormat="false" ht="15.75" hidden="false" customHeight="false" outlineLevel="0" collapsed="false">
      <c r="B22" s="69" t="s">
        <v>46</v>
      </c>
      <c r="C22" s="75" t="n">
        <f aca="false">C21-'2022'!N31</f>
        <v>1.47</v>
      </c>
      <c r="D22" s="75" t="n">
        <f aca="false">IF(D21&gt;0,D21-C21,"")</f>
        <v>0.4</v>
      </c>
      <c r="E22" s="75" t="n">
        <f aca="false">IF(E21&gt;0,E21-D21,"")</f>
        <v>0.35</v>
      </c>
      <c r="F22" s="75" t="n">
        <f aca="false">IF(F21&gt;0,F21-E21,"")</f>
        <v>0.779999999999999</v>
      </c>
      <c r="G22" s="75" t="n">
        <f aca="false">IF(G21&gt;0,G21-F21,"")</f>
        <v>0.9</v>
      </c>
      <c r="H22" s="75" t="n">
        <f aca="false">IF(H21&gt;0,H21-G21,"")</f>
        <v>0.449999999999999</v>
      </c>
      <c r="I22" s="75" t="n">
        <f aca="false">IF(I21&gt;0,I21-H21,"")</f>
        <v>2.36</v>
      </c>
      <c r="J22" s="71" t="n">
        <f aca="false">IF(J21&gt;0,J21-I21,"")</f>
        <v>0.0700000000000003</v>
      </c>
      <c r="K22" s="71" t="n">
        <f aca="false">IF(K21&gt;0,K21-J21,"")</f>
        <v>-0.0500000000000007</v>
      </c>
      <c r="L22" s="71" t="n">
        <f aca="false">IF(L21&gt;0,L21-K21,"")</f>
        <v>1.79</v>
      </c>
      <c r="M22" s="71" t="n">
        <f aca="false">IF(M21&gt;0,M21-L21,"")</f>
        <v>1.8</v>
      </c>
      <c r="N22" s="75" t="n">
        <f aca="false">IF(N21&gt;0,N21-M21,"")</f>
        <v>-1.11</v>
      </c>
      <c r="O22" s="69" t="n">
        <f aca="false">SUM(C22:N22)</f>
        <v>9.21</v>
      </c>
      <c r="P22" s="69" t="n">
        <f aca="false">AVERAGE(C22:N22)</f>
        <v>0.7675</v>
      </c>
      <c r="Q22" s="69" t="n">
        <f aca="false">MEDIAN(C22:N22)</f>
        <v>0.614999999999999</v>
      </c>
    </row>
    <row r="23" customFormat="false" ht="15.75" hidden="false" customHeight="false" outlineLevel="0" collapsed="false">
      <c r="B23" s="69" t="s">
        <v>44</v>
      </c>
      <c r="C23" s="76" t="n">
        <f aca="false">(C21-'2022'!N31)/'2022'!N31</f>
        <v>0.1166666667</v>
      </c>
      <c r="D23" s="76" t="n">
        <f aca="false">IF(D21&gt;0,(D21-C21)/C21,"")</f>
        <v>0.0284292821606255</v>
      </c>
      <c r="E23" s="76" t="n">
        <f aca="false">IF(E21&gt;0,(E21-D21)/D21,"")</f>
        <v>0.0241879751209399</v>
      </c>
      <c r="F23" s="76" t="n">
        <f aca="false">IF(F21&gt;0,(F21-E21)/E21,"")</f>
        <v>0.0526315789473684</v>
      </c>
      <c r="G23" s="76" t="n">
        <f aca="false">IF(G21&gt;0,(G21-F21)/F21,"")</f>
        <v>0.0576923076923077</v>
      </c>
      <c r="H23" s="76" t="n">
        <f aca="false">IF(H21&gt;0,(H21-G21)/G21,"")</f>
        <v>0.0272727272727272</v>
      </c>
      <c r="I23" s="76" t="n">
        <f aca="false">IF(I21&gt;0,(I21-H21)/H21,"")</f>
        <v>0.139233038348083</v>
      </c>
      <c r="J23" s="76" t="n">
        <f aca="false">IF(J21&gt;0,(J21-I21)/I21,"")</f>
        <v>0.00362506473329882</v>
      </c>
      <c r="K23" s="76" t="n">
        <f aca="false">IF(K21&gt;0,(K21-J21)/J21,"")</f>
        <v>-0.00257997936016516</v>
      </c>
      <c r="L23" s="76" t="n">
        <f aca="false">IF(L21&gt;0,(L21-K21)/K21,"")</f>
        <v>0.0926021727884119</v>
      </c>
      <c r="M23" s="76" t="n">
        <f aca="false">IF(M21&gt;0,(M21-L21)/L21,"")</f>
        <v>0.0852272727272728</v>
      </c>
      <c r="N23" s="76" t="n">
        <f aca="false">IF(N21&gt;0,(N21-M21)/M21,"")</f>
        <v>-0.0484293193717279</v>
      </c>
      <c r="O23" s="73" t="s">
        <v>42</v>
      </c>
      <c r="P23" s="72" t="n">
        <f aca="false">AVERAGE(C23:N23)</f>
        <v>0.0480465656465951</v>
      </c>
      <c r="Q23" s="72" t="n">
        <f aca="false">MEDIAN(C23:N23)</f>
        <v>0.0405304305539969</v>
      </c>
    </row>
    <row r="24" customFormat="false" ht="15.75" hidden="false" customHeight="false" outlineLevel="0" collapsed="false">
      <c r="B24" s="69" t="s">
        <v>45</v>
      </c>
      <c r="C24" s="76" t="n">
        <f aca="false">IF(C21&gt;0,(C21-'2022'!C31)/'2022'!C31,"")</f>
        <v>0.2202948829</v>
      </c>
      <c r="D24" s="76" t="n">
        <f aca="false">IF(D21&gt;0,(D21-'2022'!D31)/'2022'!D31,"")</f>
        <v>0.2210970464</v>
      </c>
      <c r="E24" s="76" t="n">
        <f aca="false">IF(E21&gt;0,(E21-'2022'!E31)/'2022'!E31,"")</f>
        <v>0.06695464363</v>
      </c>
      <c r="F24" s="76" t="n">
        <f aca="false">IF(F21&gt;0,(F21-'2022'!F31)/'2022'!F31,"")</f>
        <v>0.1079545455</v>
      </c>
      <c r="G24" s="76" t="n">
        <f aca="false">IF(G21&gt;0,(G21-'2022'!G31)/'2022'!G31,"")</f>
        <v>0.2415349887</v>
      </c>
      <c r="H24" s="76" t="n">
        <f aca="false">IF(H21&gt;0,(H21-'2022'!H31)/'2022'!H31,"")</f>
        <v>0.09850939728</v>
      </c>
      <c r="I24" s="76" t="n">
        <f aca="false">IF(I21&gt;0,(I21-'2022'!I31)/'2022'!I31,"")</f>
        <v>0.3704755145</v>
      </c>
      <c r="J24" s="76" t="n">
        <f aca="false">IF(J21&gt;0,(J21-'2022'!J31)/'2022'!J31,"")</f>
        <v>0.1460674157</v>
      </c>
      <c r="K24" s="76" t="n">
        <f aca="false">IF(K21&gt;0,(K21-'2022'!K31)/'2022'!K31,"")</f>
        <v>0.3122878479</v>
      </c>
      <c r="L24" s="76" t="n">
        <f aca="false">IF(L21&gt;0,(L21-'2022'!L31)/'2022'!L31,"")</f>
        <v>0.4051896208</v>
      </c>
      <c r="M24" s="76" t="n">
        <f aca="false">IF(M21&gt;0,(M21-'2022'!M31)/'2022'!M31,"")</f>
        <v>0.753634277</v>
      </c>
      <c r="N24" s="76" t="n">
        <f aca="false">IF(N21&gt;0,(N21-'2022'!N31)/'2022'!N31,"")</f>
        <v>0.730952381</v>
      </c>
      <c r="O24" s="76" t="n">
        <f aca="false">IF(O21&gt;0,(O21-'2022'!O31)/'2022'!O31,"")</f>
        <v>0.730952381</v>
      </c>
      <c r="P24" s="72" t="n">
        <f aca="false">AVERAGE(C24:N24)</f>
        <v>0.306246046775833</v>
      </c>
      <c r="Q24" s="72" t="n">
        <f aca="false">MEDIAN(C24:N24)</f>
        <v>0.23131601755</v>
      </c>
    </row>
    <row r="25" customFormat="false" ht="15.75" hidden="false" customHeight="false" outlineLevel="0" collapsed="false">
      <c r="B25" s="2" t="s">
        <v>1</v>
      </c>
      <c r="C25" s="2" t="n">
        <v>4168</v>
      </c>
      <c r="D25" s="0" t="n">
        <f aca="false">14065-1565-6738-493</f>
        <v>5269</v>
      </c>
      <c r="E25" s="0" t="n">
        <f aca="false">8221-1218</f>
        <v>7003</v>
      </c>
      <c r="F25" s="2" t="n">
        <f aca="false">5757-458</f>
        <v>5299</v>
      </c>
      <c r="G25" s="0" t="n">
        <f aca="false">5824-954</f>
        <v>4870</v>
      </c>
      <c r="H25" s="2" t="n">
        <v>8771</v>
      </c>
      <c r="I25" s="2" t="n">
        <v>5229</v>
      </c>
      <c r="J25" s="74" t="n">
        <v>4943</v>
      </c>
      <c r="K25" s="74" t="n">
        <v>6132</v>
      </c>
      <c r="L25" s="74" t="n">
        <v>4364</v>
      </c>
      <c r="M25" s="2" t="n">
        <v>4160</v>
      </c>
      <c r="N25" s="2" t="n">
        <v>5522</v>
      </c>
      <c r="O25" s="0" t="n">
        <f aca="false">SUM(C25:N25)</f>
        <v>65730</v>
      </c>
      <c r="P25" s="0" t="n">
        <f aca="false">AVERAGE(C25:N25)</f>
        <v>5477.5</v>
      </c>
      <c r="Q25" s="0" t="n">
        <f aca="false">MEDIAN(C25:N25)</f>
        <v>5249</v>
      </c>
    </row>
    <row r="26" customFormat="false" ht="15.75" hidden="false" customHeight="false" outlineLevel="0" collapsed="false">
      <c r="B26" s="69" t="s">
        <v>44</v>
      </c>
      <c r="C26" s="78" t="n">
        <f aca="false">(C25-'2022'!N35)/'2022'!N35</f>
        <v>-0.2834794568</v>
      </c>
      <c r="D26" s="78" t="n">
        <f aca="false">IF(D25&gt;0,(D25-C25)/C25,"")</f>
        <v>0.26415547024952</v>
      </c>
      <c r="E26" s="78" t="n">
        <f aca="false">IF(E25&gt;0,(E25-D25)/D25,"")</f>
        <v>0.329094704877586</v>
      </c>
      <c r="F26" s="78" t="n">
        <f aca="false">IF(F25&gt;0,(F25-E25)/E25,"")</f>
        <v>-0.243324289590176</v>
      </c>
      <c r="G26" s="78" t="n">
        <f aca="false">IF(G25&gt;0,(G25-F25)/F25,"")</f>
        <v>-0.0809586714474429</v>
      </c>
      <c r="H26" s="78" t="n">
        <f aca="false">IF(H25&gt;0,(H25-G25)/G25,"")</f>
        <v>0.801026694045175</v>
      </c>
      <c r="I26" s="78" t="n">
        <f aca="false">IF(I25&gt;0,(I25-H25)/H25,"")</f>
        <v>-0.403830806065443</v>
      </c>
      <c r="J26" s="78" t="n">
        <f aca="false">IF(J25&gt;0,(J25-I25)/I25,"")</f>
        <v>-0.054694970357621</v>
      </c>
      <c r="K26" s="78" t="n">
        <f aca="false">IF(K25&gt;0,(K25-J25)/J25,"")</f>
        <v>0.240542180861825</v>
      </c>
      <c r="L26" s="78" t="n">
        <f aca="false">IF(L25&gt;0,(L25-K25)/K25,"")</f>
        <v>-0.288323548597521</v>
      </c>
      <c r="M26" s="78" t="n">
        <f aca="false">IF(M25&gt;0,(M25-L25)/L25,"")</f>
        <v>-0.0467461044912924</v>
      </c>
      <c r="N26" s="78" t="n">
        <f aca="false">IF(N25&gt;0,(N25-M25)/M25,"")</f>
        <v>0.327403846153846</v>
      </c>
      <c r="O26" s="73" t="s">
        <v>42</v>
      </c>
      <c r="P26" s="78" t="n">
        <f aca="false">AVERAGE(C26:N26)</f>
        <v>0.0467387540698713</v>
      </c>
      <c r="Q26" s="78" t="n">
        <f aca="false">MEDIAN(C26:N26)</f>
        <v>-0.0507205374244567</v>
      </c>
    </row>
    <row r="27" customFormat="false" ht="15.75" hidden="false" customHeight="false" outlineLevel="0" collapsed="false">
      <c r="B27" s="69" t="s">
        <v>45</v>
      </c>
      <c r="C27" s="78" t="n">
        <f aca="false">IF(C25&gt;0,(C25-'2022'!C35)/'2022'!C35,"")</f>
        <v>0.02559055118</v>
      </c>
      <c r="D27" s="78" t="n">
        <f aca="false">IF(D25&gt;0,(D25-'2022'!D35)/'2022'!D35,"")</f>
        <v>0.2748608759</v>
      </c>
      <c r="E27" s="78" t="n">
        <f aca="false">IF(E25&gt;0,(E25-'2022'!E35)/'2022'!E35,"")</f>
        <v>0.007770902288</v>
      </c>
      <c r="F27" s="78" t="n">
        <f aca="false">IF(F25&gt;0,(F25-'2022'!F35)/'2022'!F35,"")</f>
        <v>0.2981381676</v>
      </c>
      <c r="G27" s="78" t="n">
        <f aca="false">IF(G25&gt;0,(G25-'2022'!G35)/'2022'!G35,"")</f>
        <v>0.09907470097</v>
      </c>
      <c r="H27" s="78" t="n">
        <f aca="false">IF(H25&gt;0,(H25-'2022'!H35)/'2022'!H35,"")</f>
        <v>0.9754504505</v>
      </c>
      <c r="I27" s="78" t="n">
        <f aca="false">IF(I25&gt;0,(I25-'2022'!I35)/'2022'!I35,"")</f>
        <v>0.621898263</v>
      </c>
      <c r="J27" s="78" t="n">
        <f aca="false">IF(J25&gt;0,(J25-'2022'!J35)/'2022'!J35,"")</f>
        <v>-0.2349481504</v>
      </c>
      <c r="K27" s="78" t="n">
        <f aca="false">IF(K25&gt;0,(K25-'2022'!K35)/'2022'!K35,"")</f>
        <v>0.1372403561</v>
      </c>
      <c r="L27" s="78" t="n">
        <f aca="false">IF(L25&gt;0,(L25-'2022'!L35)/'2022'!L35,"")</f>
        <v>-0.159799769</v>
      </c>
      <c r="M27" s="78" t="n">
        <f aca="false">IF(M25&gt;0,(M25-'2022'!M35)/'2022'!M35,"")</f>
        <v>-0.3308895791</v>
      </c>
      <c r="N27" s="78" t="n">
        <f aca="false">IF(N25&gt;0,(N25-'2022'!N35)/'2022'!N35,"")</f>
        <v>-0.05071342616</v>
      </c>
      <c r="O27" s="78" t="n">
        <f aca="false">IF(O25&gt;0,(O25-'2022'!O35)/'2022'!O35,"")</f>
        <v>0.08816918556</v>
      </c>
      <c r="P27" s="78" t="n">
        <f aca="false">AVERAGE(C27:N27)</f>
        <v>0.138639445239833</v>
      </c>
      <c r="Q27" s="78" t="n">
        <f aca="false">MEDIAN(C27:N27)</f>
        <v>0.062332626075</v>
      </c>
    </row>
    <row r="28" customFormat="false" ht="15.75" hidden="false" customHeight="false" outlineLevel="0" collapsed="false">
      <c r="B28" s="2" t="s">
        <v>2</v>
      </c>
      <c r="C28" s="2" t="n">
        <v>9884</v>
      </c>
      <c r="D28" s="2" t="n">
        <v>14137</v>
      </c>
      <c r="E28" s="2" t="n">
        <v>8221</v>
      </c>
      <c r="F28" s="2" t="n">
        <v>6512</v>
      </c>
      <c r="G28" s="2" t="n">
        <v>7868</v>
      </c>
      <c r="H28" s="2" t="n">
        <v>14515</v>
      </c>
      <c r="I28" s="2" t="n">
        <v>11056</v>
      </c>
      <c r="J28" s="2" t="n">
        <v>11085</v>
      </c>
      <c r="K28" s="2" t="n">
        <v>12858</v>
      </c>
      <c r="L28" s="2" t="n">
        <v>10317</v>
      </c>
      <c r="M28" s="2" t="n">
        <v>10056</v>
      </c>
      <c r="N28" s="2" t="n">
        <v>19286</v>
      </c>
      <c r="O28" s="0" t="n">
        <f aca="false">SUM(C28:N28)</f>
        <v>135795</v>
      </c>
      <c r="P28" s="0" t="n">
        <f aca="false">AVERAGE(C28:N28)</f>
        <v>11316.25</v>
      </c>
      <c r="Q28" s="0" t="n">
        <f aca="false">MEDIAN(C28:N28)</f>
        <v>10686.5</v>
      </c>
    </row>
    <row r="29" customFormat="false" ht="15.75" hidden="false" customHeight="false" outlineLevel="0" collapsed="false">
      <c r="B29" s="69" t="s">
        <v>44</v>
      </c>
      <c r="C29" s="78" t="n">
        <f aca="false">(C28-'2022'!N38)/'2022'!N38</f>
        <v>-0.1985729344</v>
      </c>
      <c r="D29" s="78" t="n">
        <f aca="false">IF(D28&gt;0,(D28-C28)/C28,"")</f>
        <v>0.430291380008094</v>
      </c>
      <c r="E29" s="78" t="n">
        <f aca="false">IF(E28&gt;0,(E28-D28)/D28,"")</f>
        <v>-0.418476338685718</v>
      </c>
      <c r="F29" s="78" t="n">
        <f aca="false">IF(F28&gt;0,(F28-E28)/E28,"")</f>
        <v>-0.207882252767303</v>
      </c>
      <c r="G29" s="78" t="n">
        <f aca="false">IF(G28&gt;0,(G28-F28)/F28,"")</f>
        <v>0.208230958230958</v>
      </c>
      <c r="H29" s="78" t="n">
        <f aca="false">IF(H28&gt;0,(H28-G28)/G28,"")</f>
        <v>0.844814438230808</v>
      </c>
      <c r="I29" s="78" t="n">
        <f aca="false">IF(I28&gt;0,(I28-H28)/H28,"")</f>
        <v>-0.238305201515673</v>
      </c>
      <c r="J29" s="78" t="n">
        <f aca="false">IF(J28&gt;0,(J28-I28)/I28,"")</f>
        <v>0.00262301013024602</v>
      </c>
      <c r="K29" s="78" t="n">
        <f aca="false">IF(K28&gt;0,(K28-J28)/J28,"")</f>
        <v>0.159945872801083</v>
      </c>
      <c r="L29" s="78" t="n">
        <f aca="false">IF(L28&gt;0,(L28-K28)/K28,"")</f>
        <v>-0.19762015865609</v>
      </c>
      <c r="M29" s="78" t="n">
        <f aca="false">IF(M28&gt;0,(M28-L28)/L28,"")</f>
        <v>-0.0252980517592323</v>
      </c>
      <c r="N29" s="78" t="n">
        <f aca="false">IF(N28&gt;0,(N28-M28)/M28,"")</f>
        <v>0.917859984089101</v>
      </c>
      <c r="O29" s="73" t="s">
        <v>42</v>
      </c>
      <c r="P29" s="78" t="n">
        <f aca="false">AVERAGE(C29:N29)</f>
        <v>0.106467558808856</v>
      </c>
      <c r="Q29" s="78" t="n">
        <f aca="false">MEDIAN(C29:N29)</f>
        <v>-0.0113375208144932</v>
      </c>
    </row>
    <row r="30" customFormat="false" ht="15.75" hidden="false" customHeight="false" outlineLevel="0" collapsed="false">
      <c r="B30" s="69" t="s">
        <v>45</v>
      </c>
      <c r="C30" s="78" t="n">
        <f aca="false">IF(C28&gt;0,(C28-'2022'!C38)/'2022'!C38,"")</f>
        <v>0.2232673267</v>
      </c>
      <c r="D30" s="78" t="n">
        <f aca="false">IF(D28&gt;0,(D28-'2022'!D38)/'2022'!D38,"")</f>
        <v>1.581157568</v>
      </c>
      <c r="E30" s="78" t="n">
        <f aca="false">IF(E28&gt;0,(E28-'2022'!E38)/'2022'!E38,"")</f>
        <v>0.04619496055</v>
      </c>
      <c r="F30" s="78" t="n">
        <f aca="false">IF(F28&gt;0,(F28-'2022'!F38)/'2022'!F38,"")</f>
        <v>0.2356736243</v>
      </c>
      <c r="G30" s="78" t="n">
        <f aca="false">IF(G28&gt;0,(G28-'2022'!G38)/'2022'!G38,"")</f>
        <v>0.1903177005</v>
      </c>
      <c r="H30" s="78" t="n">
        <f aca="false">IF(H28&gt;0,(H28-'2022'!H38)/'2022'!H38,"")</f>
        <v>-0.4669873678</v>
      </c>
      <c r="I30" s="78" t="n">
        <f aca="false">IF(I28&gt;0,(I28-'2022'!I38)/'2022'!I38,"")</f>
        <v>0.5839541547</v>
      </c>
      <c r="J30" s="78" t="n">
        <f aca="false">IF(J28&gt;0,(J28-'2022'!J38)/'2022'!J38,"")</f>
        <v>-0.1000243566</v>
      </c>
      <c r="K30" s="78" t="n">
        <f aca="false">IF(K28&gt;0,(K28-'2022'!K38)/'2022'!K38,"")</f>
        <v>0.08588801621</v>
      </c>
      <c r="L30" s="78" t="n">
        <f aca="false">IF(L28&gt;0,(L28-'2022'!L38)/'2022'!L38,"")</f>
        <v>-0.493221338</v>
      </c>
      <c r="M30" s="78" t="n">
        <f aca="false">IF(M28&gt;0,(M28-'2022'!M38)/'2022'!M38,"")</f>
        <v>-0.1592676198</v>
      </c>
      <c r="N30" s="78" t="n">
        <f aca="false">IF(N28&gt;0,(N28-'2022'!N38)/'2022'!N38,"")</f>
        <v>0.5637719938</v>
      </c>
      <c r="O30" s="78" t="n">
        <f aca="false">IF(O28&gt;0,(O28-'2022'!O38)/'2022'!O38,"")</f>
        <v>-0.003829309624</v>
      </c>
      <c r="P30" s="78" t="n">
        <f aca="false">AVERAGE(C30:N30)</f>
        <v>0.19089372188</v>
      </c>
      <c r="Q30" s="78" t="n">
        <f aca="false">MEDIAN(C30:N30)</f>
        <v>0.138102858355</v>
      </c>
    </row>
    <row r="31" customFormat="false" ht="15.75" hidden="false" customHeight="false" outlineLevel="0" collapsed="false">
      <c r="B31" s="2" t="s">
        <v>3</v>
      </c>
      <c r="C31" s="2" t="n">
        <v>41191</v>
      </c>
      <c r="D31" s="2" t="n">
        <v>29065</v>
      </c>
      <c r="E31" s="2" t="n">
        <v>49323</v>
      </c>
      <c r="F31" s="2" t="n">
        <v>21435</v>
      </c>
      <c r="G31" s="2" t="n">
        <v>29903</v>
      </c>
      <c r="H31" s="2" t="n">
        <v>18278</v>
      </c>
      <c r="I31" s="2" t="n">
        <v>16881</v>
      </c>
      <c r="J31" s="2" t="n">
        <v>23958</v>
      </c>
      <c r="K31" s="2" t="n">
        <v>18270</v>
      </c>
      <c r="L31" s="2" t="n">
        <v>18391</v>
      </c>
      <c r="M31" s="2" t="n">
        <v>25758</v>
      </c>
      <c r="N31" s="2" t="n">
        <v>19660</v>
      </c>
      <c r="O31" s="0" t="n">
        <f aca="false">SUM(C31:N31)</f>
        <v>312113</v>
      </c>
      <c r="P31" s="0" t="n">
        <f aca="false">AVERAGE(C31:N31)</f>
        <v>26009.4166666667</v>
      </c>
      <c r="Q31" s="0" t="n">
        <f aca="false">MEDIAN(C31:N31)</f>
        <v>22696.5</v>
      </c>
    </row>
    <row r="32" customFormat="false" ht="15.75" hidden="false" customHeight="false" outlineLevel="0" collapsed="false">
      <c r="B32" s="69" t="s">
        <v>44</v>
      </c>
      <c r="C32" s="78" t="n">
        <f aca="false">(C31-'2022'!N41)/'2022'!N41</f>
        <v>1.223295731</v>
      </c>
      <c r="D32" s="78" t="n">
        <f aca="false">IF(D31&gt;0,(D31-C31)/C31,"")</f>
        <v>-0.294384695685951</v>
      </c>
      <c r="E32" s="78" t="n">
        <f aca="false">IF(E31&gt;0,(E31-D31)/D31,"")</f>
        <v>0.69698950627903</v>
      </c>
      <c r="F32" s="78" t="n">
        <f aca="false">IF(F31&gt;0,(F31-E31)/E31,"")</f>
        <v>-0.565415728970257</v>
      </c>
      <c r="G32" s="78" t="n">
        <f aca="false">IF(G31&gt;0,(G31-F31)/F31,"")</f>
        <v>0.395054816888267</v>
      </c>
      <c r="H32" s="78" t="n">
        <f aca="false">IF(H31&gt;0,(H31-G31)/G31,"")</f>
        <v>-0.388756980904926</v>
      </c>
      <c r="I32" s="78" t="n">
        <f aca="false">IF(I31&gt;0,(I31-H31)/H31,"")</f>
        <v>-0.0764306816938396</v>
      </c>
      <c r="J32" s="78" t="n">
        <f aca="false">IF(J31&gt;0,(J31-I31)/I31,"")</f>
        <v>0.419228718677803</v>
      </c>
      <c r="K32" s="78" t="n">
        <f aca="false">IF(K31&gt;0,(K31-J31)/J31,"")</f>
        <v>-0.237415477084899</v>
      </c>
      <c r="L32" s="78" t="n">
        <f aca="false">IF(L31&gt;0,(L31-K31)/K31,"")</f>
        <v>0.00662287903667214</v>
      </c>
      <c r="M32" s="78" t="n">
        <f aca="false">IF(M31&gt;0,(M31-L31)/L31,"")</f>
        <v>0.400576368876081</v>
      </c>
      <c r="N32" s="78" t="n">
        <f aca="false">IF(N31&gt;0,(N31-M31)/M31,"")</f>
        <v>-0.23674198307322</v>
      </c>
      <c r="O32" s="73" t="s">
        <v>42</v>
      </c>
      <c r="P32" s="73" t="s">
        <v>42</v>
      </c>
      <c r="Q32" s="73" t="s">
        <v>42</v>
      </c>
    </row>
    <row r="33" customFormat="false" ht="15.75" hidden="false" customHeight="false" outlineLevel="0" collapsed="false">
      <c r="B33" s="69" t="s">
        <v>45</v>
      </c>
      <c r="C33" s="73" t="n">
        <f aca="false">IF(C31&gt;0,(C31-'2022'!C41)/'2022'!C41,"")</f>
        <v>0.550807575</v>
      </c>
      <c r="D33" s="73" t="n">
        <f aca="false">IF(D31&gt;0,(D31-'2022'!D41)/'2022'!D41,"")</f>
        <v>0.06590142291</v>
      </c>
      <c r="E33" s="73" t="n">
        <f aca="false">IF(E31&gt;0,(E31-'2022'!E41)/'2022'!E41,"")</f>
        <v>0.04429294319</v>
      </c>
      <c r="F33" s="73" t="n">
        <f aca="false">IF(F31&gt;0,(F31-'2022'!F41)/'2022'!F41,"")</f>
        <v>0.1089554555</v>
      </c>
      <c r="G33" s="73" t="n">
        <f aca="false">IF(G31&gt;0,(G31-'2022'!G41)/'2022'!G41,"")</f>
        <v>0.6234866171</v>
      </c>
      <c r="H33" s="73" t="n">
        <f aca="false">IF(H31&gt;0,(H31-'2022'!H41)/'2022'!H41,"")</f>
        <v>0.08513417241</v>
      </c>
      <c r="I33" s="73" t="n">
        <f aca="false">IF(I31&gt;0,(I31-'2022'!I41)/'2022'!I41,"")</f>
        <v>0.04805364127</v>
      </c>
      <c r="J33" s="73" t="n">
        <f aca="false">IF(J31&gt;0,(J31-'2022'!J41)/'2022'!J41,"")</f>
        <v>0.1290292177</v>
      </c>
      <c r="K33" s="73" t="n">
        <f aca="false">IF(K31&gt;0,(K31-'2022'!K41)/'2022'!K41,"")</f>
        <v>0.1559867077</v>
      </c>
      <c r="L33" s="73" t="n">
        <f aca="false">IF(L31&gt;0,(L31-'2022'!L41)/'2022'!L41,"")</f>
        <v>0.1035577752</v>
      </c>
      <c r="M33" s="73" t="n">
        <f aca="false">IF(M31&gt;0,(M31-'2022'!M41)/'2022'!M41,"")</f>
        <v>0.338356022</v>
      </c>
      <c r="N33" s="73" t="n">
        <f aca="false">IF(N31&gt;0,(N31-'2022'!N41)/'2022'!N41,"")</f>
        <v>0.06115399147</v>
      </c>
      <c r="O33" s="73" t="n">
        <f aca="false">IF(O31&gt;0,(O31-'2022'!O41)/'2022'!O41,"")</f>
        <v>0.1857411392</v>
      </c>
      <c r="P33" s="73" t="n">
        <f aca="false">IF(P31&gt;0,(P31-'2022'!P41)/'2022'!P41,"")</f>
        <v>0.1857411392</v>
      </c>
      <c r="Q33" s="73" t="n">
        <f aca="false">IF(Q31&gt;0,(Q31-'2022'!Q41)/'2022'!Q41,"")</f>
        <v>0.2017313954</v>
      </c>
    </row>
    <row r="34" customFormat="false" ht="15.75" hidden="false" customHeight="false" outlineLevel="0" collapsed="false">
      <c r="B34" s="2" t="s">
        <v>47</v>
      </c>
      <c r="C34" s="79" t="n">
        <f aca="false">IF(C28&gt;0,MAX(0,(C31-C28)/C31),"")</f>
        <v>0.760044669952174</v>
      </c>
      <c r="D34" s="79" t="n">
        <f aca="false">IF(D28&gt;0,MAX(0,(D31-D28)/D31),"")</f>
        <v>0.513607431618786</v>
      </c>
      <c r="E34" s="79" t="n">
        <f aca="false">IF(E28&gt;0,MAX(0,(E31-E28)/E31),"")</f>
        <v>0.833323196074854</v>
      </c>
      <c r="F34" s="79" t="n">
        <f aca="false">IF(F28&gt;0,MAX(0,(F31-F28)/F31),"")</f>
        <v>0.696197807324469</v>
      </c>
      <c r="G34" s="79" t="n">
        <f aca="false">IF(G28&gt;0,MAX(0,(G31-G28)/G31),"")</f>
        <v>0.736882587031402</v>
      </c>
      <c r="H34" s="79" t="n">
        <f aca="false">IF(H28&gt;0,MAX(0,(H31-H28)/H31),"")</f>
        <v>0.205875916402232</v>
      </c>
      <c r="I34" s="79" t="n">
        <f aca="false">IF(I28&gt;0,MAX(0,(I31-I28)/I31),"")</f>
        <v>0.345062496297613</v>
      </c>
      <c r="J34" s="79" t="n">
        <f aca="false">IF(J28&gt;0,MAX(0,(J31-J28)/J31),"")</f>
        <v>0.537315301778112</v>
      </c>
      <c r="K34" s="79" t="n">
        <f aca="false">IF(K28&gt;0,MAX(0,(K31-K28)/K31),"")</f>
        <v>0.296223316912972</v>
      </c>
      <c r="L34" s="79" t="n">
        <f aca="false">IF(L28&gt;0,MAX(0,(L31-L28)/L31),"")</f>
        <v>0.439019085422217</v>
      </c>
      <c r="M34" s="79" t="n">
        <f aca="false">IF(M28&gt;0,MAX(0,(M31-M28)/M31),"")</f>
        <v>0.60959701840205</v>
      </c>
      <c r="N34" s="79" t="n">
        <f aca="false">IF(N28&gt;0,MAX(0,(N31-N28)/N31),"")</f>
        <v>0.0190233977619532</v>
      </c>
      <c r="O34" s="79" t="n">
        <f aca="false">IF(O28&gt;0,MAX(0,(O31-O28)/O31),"")</f>
        <v>0.564917193452372</v>
      </c>
      <c r="P34" s="79" t="n">
        <f aca="false">AVERAGE(C34:N34)</f>
        <v>0.4993476854</v>
      </c>
      <c r="Q34" s="79" t="n">
        <f aca="false">MEDIAN(C34:N34)</f>
        <v>0.5254613667</v>
      </c>
    </row>
    <row r="35" customFormat="false" ht="15.75" hidden="false" customHeight="false" outlineLevel="0" collapsed="false">
      <c r="B35" s="69" t="s">
        <v>44</v>
      </c>
      <c r="C35" s="78" t="n">
        <f aca="false">(C34-'2022'!N44)/'2022'!N44</f>
        <v>1.273385147</v>
      </c>
      <c r="D35" s="78" t="n">
        <f aca="false">IF(ISBLANK(D28),"",IF(C34=0,100,(D34-C34)/C34))</f>
        <v>-0.324240466483234</v>
      </c>
      <c r="E35" s="78" t="n">
        <f aca="false">IF(ISBLANK(E28),"",IF(D34=0,100,(E34-D34)/D34))</f>
        <v>0.622490534158334</v>
      </c>
      <c r="F35" s="78" t="n">
        <f aca="false">IF(ISBLANK(F28),"",IF(E34=0,100,(F34-E34)/E34))</f>
        <v>-0.164552468233546</v>
      </c>
      <c r="G35" s="78" t="n">
        <f aca="false">IF(ISBLANK(G28),"",IF(F34=0,100,(G34-F34)/F34))</f>
        <v>0.0584385346792261</v>
      </c>
      <c r="H35" s="78" t="n">
        <f aca="false">IF(ISBLANK(H28),"",IF(G34=0,100,(H34-G34)/G34))</f>
        <v>-0.720612320028321</v>
      </c>
      <c r="I35" s="78" t="n">
        <f aca="false">IF(ISBLANK(I28),"",IF(H34=0,100,(I34-H34)/H34))</f>
        <v>0.67607023846074</v>
      </c>
      <c r="J35" s="78" t="n">
        <f aca="false">IF(ISBLANK(J28),"",IF(I34=0,100,(J34-I34)/I34))</f>
        <v>0.557153580998507</v>
      </c>
      <c r="K35" s="78" t="n">
        <f aca="false">IF(ISBLANK(K28),"",IF(J34=0,100,(K34-J34)/J34))</f>
        <v>-0.448697411123982</v>
      </c>
      <c r="L35" s="78" t="n">
        <f aca="false">IF(ISBLANK(L28),"",IF(K34=0,100,(L34-K34)/K34))</f>
        <v>0.482054451342186</v>
      </c>
      <c r="M35" s="91" t="n">
        <f aca="false">IF(ISBLANK(M28),"",IF(L34=0,100,(M34-L34)/L34))</f>
        <v>0.388543319969296</v>
      </c>
      <c r="N35" s="78" t="n">
        <f aca="false">IF(ISBLANK(N28),"",IF(M34=0,100,(N34-M34)/M34))</f>
        <v>-0.968793486208611</v>
      </c>
      <c r="O35" s="73" t="s">
        <v>42</v>
      </c>
      <c r="P35" s="73" t="s">
        <v>42</v>
      </c>
      <c r="Q35" s="73" t="s">
        <v>42</v>
      </c>
    </row>
    <row r="36" customFormat="false" ht="15.75" hidden="false" customHeight="false" outlineLevel="0" collapsed="false">
      <c r="B36" s="69" t="s">
        <v>45</v>
      </c>
      <c r="C36" s="78" t="n">
        <f aca="false">IF(ISBLANK(C28),"",IF('2022'!C44=0,100,(C34-'2022'!C44)/'2022'!C44))</f>
        <v>0.09234059188</v>
      </c>
      <c r="D36" s="78" t="n">
        <f aca="false">IF(ISBLANK(D28),"",IF('2022'!D44=0,100,(D34-'2022'!D44)/'2022'!D44))</f>
        <v>-0.3573012966</v>
      </c>
      <c r="E36" s="78" t="n">
        <f aca="false">IF(ISBLANK(E28),"",IF('2022'!E44=0,100,(E34-'2022'!E44)/'2022'!E44))</f>
        <v>-0.0003635010334</v>
      </c>
      <c r="F36" s="78" t="n">
        <f aca="false">IF(ISBLANK(F28),"",IF('2022'!F44=0,100,(F34-'2022'!F44)/'2022'!F44))</f>
        <v>-0.04283324434</v>
      </c>
      <c r="G36" s="78" t="n">
        <f aca="false">IF(ISBLANK(G28),"",IF('2022'!G44=0,100,(G34-'2022'!G44)/'2022'!G44))</f>
        <v>0.1493471395</v>
      </c>
      <c r="H36" s="78" t="n">
        <f aca="false">IF(ISBLANK(H28),"",IF('2022'!H44=0,100,(H34-'2022'!H44)/'2022'!H44))</f>
        <v>100</v>
      </c>
      <c r="I36" s="78" t="n">
        <f aca="false">IF(ISBLANK(I28),"",IF('2022'!I44=0,100,(I34-'2022'!I44)/'2022'!I44))</f>
        <v>-0.3910461676</v>
      </c>
      <c r="J36" s="78" t="n">
        <f aca="false">IF(ISBLANK(J28),"",IF('2022'!J44=0,100,(J34-'2022'!J44)/'2022'!J44))</f>
        <v>0.280672886</v>
      </c>
      <c r="K36" s="78" t="n">
        <f aca="false">IF(ISBLANK(K28),"",IF('2022'!K44=0,100,(K34-'2022'!K44)/'2022'!K44))</f>
        <v>0.1811535574</v>
      </c>
      <c r="L36" s="78" t="n">
        <f aca="false">IF(ISBLANK(L28),"",IF('2022'!L44=0,100,(L34-'2022'!L44)/'2022'!L44))</f>
        <v>100</v>
      </c>
      <c r="M36" s="78" t="n">
        <f aca="false">IF(ISBLANK(M28),"",IF('2022'!M44=0,100,(M34-'2022'!M44)/'2022'!M44))</f>
        <v>0.6104741546</v>
      </c>
      <c r="N36" s="78" t="n">
        <f aca="false">IF(ISBLANK(N28),"",IF('2022'!N44=0,100,(N34-'2022'!N44)/'2022'!N44))</f>
        <v>-0.9430987261</v>
      </c>
      <c r="O36" s="78" t="n">
        <f aca="false">IF(ISBLANK(O28),"",IF('2022'!O44=0,100,(O34-'2022'!O44)/'2022'!O44))</f>
        <v>0.1717324958</v>
      </c>
      <c r="P36" s="78" t="n">
        <f aca="false">IF(ISBLANK(P28),"",IF('2022'!P44=0,100,(P34-'2022'!P44)/'2022'!P44))</f>
        <v>0.06114621813</v>
      </c>
      <c r="Q36" s="78" t="n">
        <f aca="false">IF(ISBLANK(Q28),"",IF('2022'!Q44=0,100,(Q34-'2022'!Q44)/'2022'!Q44))</f>
        <v>0.06562293475</v>
      </c>
    </row>
    <row r="37" customFormat="false" ht="22.05" hidden="false" customHeight="false" outlineLevel="0" collapsed="false">
      <c r="B37" s="105" t="s">
        <v>119</v>
      </c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</row>
    <row r="38" customFormat="false" ht="15.75" hidden="false" customHeight="false" outlineLevel="0" collapsed="false">
      <c r="A38" s="1"/>
      <c r="B38" s="1"/>
      <c r="C38" s="65" t="s">
        <v>27</v>
      </c>
      <c r="D38" s="65" t="s">
        <v>28</v>
      </c>
      <c r="E38" s="65" t="s">
        <v>29</v>
      </c>
      <c r="F38" s="65" t="s">
        <v>30</v>
      </c>
      <c r="G38" s="65" t="s">
        <v>31</v>
      </c>
      <c r="H38" s="65" t="s">
        <v>32</v>
      </c>
      <c r="I38" s="65" t="s">
        <v>33</v>
      </c>
      <c r="J38" s="65" t="s">
        <v>34</v>
      </c>
      <c r="K38" s="65" t="s">
        <v>35</v>
      </c>
      <c r="L38" s="65" t="s">
        <v>36</v>
      </c>
      <c r="M38" s="65" t="s">
        <v>37</v>
      </c>
      <c r="N38" s="65" t="s">
        <v>38</v>
      </c>
      <c r="O38" s="65" t="s">
        <v>39</v>
      </c>
      <c r="P38" s="66" t="s">
        <v>40</v>
      </c>
      <c r="Q38" s="66" t="s">
        <v>41</v>
      </c>
    </row>
    <row r="39" customFormat="false" ht="15.75" hidden="false" customHeight="false" outlineLevel="0" collapsed="false">
      <c r="B39" s="1" t="s">
        <v>120</v>
      </c>
      <c r="C39" s="1" t="n">
        <v>3</v>
      </c>
      <c r="D39" s="1" t="n">
        <v>4</v>
      </c>
      <c r="E39" s="1" t="n">
        <v>2</v>
      </c>
      <c r="F39" s="1" t="n">
        <v>4</v>
      </c>
      <c r="G39" s="1" t="n">
        <v>3</v>
      </c>
      <c r="H39" s="1" t="n">
        <v>3</v>
      </c>
      <c r="I39" s="1" t="n">
        <v>2</v>
      </c>
      <c r="J39" s="1" t="n">
        <v>6</v>
      </c>
      <c r="K39" s="1" t="n">
        <v>2</v>
      </c>
      <c r="L39" s="1" t="n">
        <v>0</v>
      </c>
      <c r="M39" s="1" t="n">
        <v>2</v>
      </c>
      <c r="N39" s="1"/>
      <c r="O39" s="1" t="n">
        <f aca="false">SUM(C39:N39)</f>
        <v>31</v>
      </c>
      <c r="P39" s="1" t="n">
        <f aca="false">AVERAGE(C39:N39)</f>
        <v>2.81818181818182</v>
      </c>
      <c r="Q39" s="1" t="n">
        <f aca="false">MEDIAN(C39:N39)</f>
        <v>3</v>
      </c>
    </row>
    <row r="40" customFormat="false" ht="15.75" hidden="false" customHeight="false" outlineLevel="0" collapsed="false">
      <c r="B40" s="1" t="s">
        <v>121</v>
      </c>
      <c r="C40" s="1" t="n">
        <v>0</v>
      </c>
      <c r="D40" s="1" t="n">
        <v>0</v>
      </c>
      <c r="E40" s="1" t="n">
        <v>1</v>
      </c>
      <c r="F40" s="1" t="n">
        <v>1</v>
      </c>
      <c r="G40" s="1" t="n">
        <v>1</v>
      </c>
      <c r="H40" s="1" t="n">
        <v>2</v>
      </c>
      <c r="I40" s="1" t="n">
        <v>0</v>
      </c>
      <c r="J40" s="1"/>
      <c r="K40" s="1" t="n">
        <v>2</v>
      </c>
      <c r="L40" s="1" t="n">
        <v>0</v>
      </c>
      <c r="M40" s="1"/>
      <c r="N40" s="1"/>
      <c r="O40" s="1" t="n">
        <f aca="false">SUM(C40:N40)</f>
        <v>7</v>
      </c>
      <c r="P40" s="1" t="n">
        <f aca="false">AVERAGE(C40:N40)</f>
        <v>0.777777777777778</v>
      </c>
      <c r="Q40" s="1" t="n">
        <f aca="false">MEDIAN(C40:N40)</f>
        <v>1</v>
      </c>
    </row>
    <row r="41" customFormat="false" ht="15.75" hidden="false" customHeight="false" outlineLevel="0" collapsed="false">
      <c r="B41" s="69" t="s">
        <v>122</v>
      </c>
      <c r="C41" s="106" t="n">
        <f aca="false">IF(SUM(C39:C40)=0,"",SUM(C39:C40))</f>
        <v>3</v>
      </c>
      <c r="D41" s="106" t="n">
        <f aca="false">IF(SUM(D39:D40)=0,"",SUM(D39:D40))</f>
        <v>4</v>
      </c>
      <c r="E41" s="106" t="n">
        <f aca="false">IF(SUM(E39:E40)=0,"",SUM(E39:E40))</f>
        <v>3</v>
      </c>
      <c r="F41" s="106" t="n">
        <f aca="false">IF(SUM(F39:F40)=0,"",SUM(F39:F40))</f>
        <v>5</v>
      </c>
      <c r="G41" s="106" t="n">
        <f aca="false">IF(SUM(G39:G40)=0,"",SUM(G39:G40))</f>
        <v>4</v>
      </c>
      <c r="H41" s="106" t="n">
        <f aca="false">IF(SUM(H39:H40)=0,"",SUM(H39:H40))</f>
        <v>5</v>
      </c>
      <c r="I41" s="106" t="n">
        <f aca="false">IF(SUM(I39:I40)=0,"",SUM(I39:I40))</f>
        <v>2</v>
      </c>
      <c r="J41" s="106" t="n">
        <f aca="false">IF(SUM(J39:J40)=0,"",SUM(J39:J40))</f>
        <v>6</v>
      </c>
      <c r="K41" s="106" t="n">
        <f aca="false">IF(SUM(K39:K40)=0,"",SUM(K39:K40))</f>
        <v>4</v>
      </c>
      <c r="L41" s="106" t="n">
        <f aca="false">SUM(L39:L40)</f>
        <v>0</v>
      </c>
      <c r="M41" s="106" t="n">
        <f aca="false">IF(SUM(M39:M40)=0,"",SUM(M39:M40))</f>
        <v>2</v>
      </c>
      <c r="N41" s="106" t="str">
        <f aca="false">IF(SUM(N39:N40)=0,"",SUM(N39:N40))</f>
        <v/>
      </c>
      <c r="O41" s="106" t="n">
        <f aca="false">SUM(C41:N41)</f>
        <v>38</v>
      </c>
      <c r="P41" s="106" t="n">
        <f aca="false">AVERAGE(C41:N41)</f>
        <v>3.45454545454545</v>
      </c>
      <c r="Q41" s="106" t="n">
        <f aca="false">MEDIAN(C41:N41)</f>
        <v>4</v>
      </c>
    </row>
    <row r="42" customFormat="false" ht="15.75" hidden="false" customHeight="false" outlineLevel="0" collapsed="false">
      <c r="B42" s="69" t="s">
        <v>44</v>
      </c>
      <c r="C42" s="78" t="n">
        <f aca="false">(C41-'2022'!N51)/'2022'!N51</f>
        <v>-0.25</v>
      </c>
      <c r="D42" s="78" t="n">
        <f aca="false">IF(D41&gt;0,(D41-C41)/C41,"")</f>
        <v>0.3333333333</v>
      </c>
      <c r="E42" s="78" t="n">
        <f aca="false">IF(E39&gt;0,(E41-D41)/D41,"")</f>
        <v>-0.25</v>
      </c>
      <c r="F42" s="78" t="n">
        <f aca="false">IF(F39&gt;0,(F41-E41)/E41,"")</f>
        <v>0.666666666666667</v>
      </c>
      <c r="G42" s="78" t="n">
        <f aca="false">IF(G39&gt;0,(G41-F41)/F41,"")</f>
        <v>-0.2</v>
      </c>
      <c r="H42" s="78" t="n">
        <f aca="false">IF(H39&gt;0,(H41-G41)/G41,"")</f>
        <v>0.25</v>
      </c>
      <c r="I42" s="78" t="n">
        <f aca="false">IF(I39&gt;0,(I41-H41)/H41,"")</f>
        <v>-0.6</v>
      </c>
      <c r="J42" s="78" t="n">
        <f aca="false">IF(J39&gt;0,(J41-I41)/I41,"")</f>
        <v>2</v>
      </c>
      <c r="K42" s="78" t="n">
        <f aca="false">IF(K39&gt;0,(K41-J41)/J41,"")</f>
        <v>-0.333333333333333</v>
      </c>
      <c r="L42" s="78" t="n">
        <f aca="false">IF(L39&gt;=0,(L41-K41)/K41,"")</f>
        <v>-1</v>
      </c>
      <c r="M42" s="78" t="e">
        <f aca="false">IF(M39&gt;0,(M41-L41)/L41,"")</f>
        <v>#DIV/0!</v>
      </c>
      <c r="N42" s="78" t="str">
        <f aca="false">IF(N39&gt;0,(N41-M41)/M41,"")</f>
        <v/>
      </c>
      <c r="O42" s="73" t="s">
        <v>42</v>
      </c>
      <c r="P42" s="73" t="s">
        <v>42</v>
      </c>
      <c r="Q42" s="73" t="s">
        <v>42</v>
      </c>
    </row>
    <row r="43" customFormat="false" ht="15.75" hidden="false" customHeight="false" outlineLevel="0" collapsed="false">
      <c r="B43" s="69" t="s">
        <v>45</v>
      </c>
      <c r="C43" s="73" t="s">
        <v>42</v>
      </c>
      <c r="D43" s="73" t="s">
        <v>42</v>
      </c>
      <c r="E43" s="73" t="s">
        <v>42</v>
      </c>
      <c r="F43" s="73" t="s">
        <v>42</v>
      </c>
      <c r="G43" s="73" t="s">
        <v>42</v>
      </c>
      <c r="H43" s="73" t="s">
        <v>42</v>
      </c>
      <c r="I43" s="73" t="s">
        <v>42</v>
      </c>
      <c r="J43" s="73" t="s">
        <v>42</v>
      </c>
      <c r="K43" s="73" t="s">
        <v>42</v>
      </c>
      <c r="L43" s="73" t="s">
        <v>42</v>
      </c>
      <c r="M43" s="73"/>
      <c r="N43" s="73"/>
      <c r="O43" s="73" t="s">
        <v>42</v>
      </c>
      <c r="P43" s="73" t="s">
        <v>42</v>
      </c>
      <c r="Q43" s="73" t="s">
        <v>42</v>
      </c>
    </row>
    <row r="44" customFormat="false" ht="22.05" hidden="false" customHeight="false" outlineLevel="0" collapsed="false">
      <c r="B44" s="81" t="s">
        <v>48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</row>
    <row r="45" customFormat="false" ht="15.75" hidden="false" customHeight="false" outlineLevel="0" collapsed="false">
      <c r="B45" s="1"/>
      <c r="C45" s="65" t="s">
        <v>27</v>
      </c>
      <c r="D45" s="65" t="s">
        <v>28</v>
      </c>
      <c r="E45" s="65" t="s">
        <v>29</v>
      </c>
      <c r="F45" s="65" t="s">
        <v>30</v>
      </c>
      <c r="G45" s="65" t="s">
        <v>31</v>
      </c>
      <c r="H45" s="65" t="s">
        <v>32</v>
      </c>
      <c r="I45" s="65" t="s">
        <v>33</v>
      </c>
      <c r="J45" s="65" t="s">
        <v>34</v>
      </c>
      <c r="K45" s="65" t="s">
        <v>35</v>
      </c>
      <c r="L45" s="65" t="s">
        <v>36</v>
      </c>
      <c r="M45" s="65" t="s">
        <v>37</v>
      </c>
      <c r="N45" s="65" t="s">
        <v>38</v>
      </c>
      <c r="O45" s="65" t="s">
        <v>39</v>
      </c>
      <c r="P45" s="66" t="s">
        <v>40</v>
      </c>
      <c r="Q45" s="66" t="s">
        <v>41</v>
      </c>
    </row>
    <row r="46" customFormat="false" ht="15.75" hidden="false" customHeight="false" outlineLevel="0" collapsed="false">
      <c r="B46" s="2" t="s">
        <v>89</v>
      </c>
      <c r="C46" s="2" t="n">
        <v>130920</v>
      </c>
      <c r="D46" s="2" t="n">
        <v>131159</v>
      </c>
      <c r="E46" s="2" t="n">
        <v>131387</v>
      </c>
      <c r="F46" s="2" t="n">
        <v>131612</v>
      </c>
      <c r="G46" s="2" t="n">
        <v>131814</v>
      </c>
      <c r="H46" s="2" t="n">
        <v>131997</v>
      </c>
      <c r="I46" s="2" t="n">
        <v>132189</v>
      </c>
      <c r="J46" s="2" t="n">
        <v>132412</v>
      </c>
      <c r="K46" s="2" t="n">
        <v>132635</v>
      </c>
      <c r="L46" s="2" t="n">
        <v>444.17</v>
      </c>
      <c r="M46" s="2" t="n">
        <v>788.55</v>
      </c>
      <c r="N46" s="2" t="n">
        <v>1143.43</v>
      </c>
      <c r="O46" s="83" t="s">
        <v>42</v>
      </c>
      <c r="P46" s="83" t="s">
        <v>42</v>
      </c>
      <c r="Q46" s="83" t="s">
        <v>42</v>
      </c>
    </row>
    <row r="47" customFormat="false" ht="15.75" hidden="false" customHeight="false" outlineLevel="0" collapsed="false">
      <c r="B47" s="2" t="s">
        <v>123</v>
      </c>
      <c r="C47" s="2" t="n">
        <v>79002</v>
      </c>
      <c r="D47" s="2" t="n">
        <v>79186</v>
      </c>
      <c r="E47" s="2" t="n">
        <v>79376</v>
      </c>
      <c r="F47" s="2" t="n">
        <v>79588</v>
      </c>
      <c r="G47" s="2" t="n">
        <v>79774</v>
      </c>
      <c r="H47" s="2" t="n">
        <v>79917</v>
      </c>
      <c r="I47" s="2" t="n">
        <v>80030</v>
      </c>
      <c r="J47" s="2" t="n">
        <v>80161</v>
      </c>
      <c r="K47" s="2" t="n">
        <v>80292</v>
      </c>
      <c r="L47" s="2" t="n">
        <v>0</v>
      </c>
      <c r="M47" s="2" t="n">
        <v>0</v>
      </c>
      <c r="N47" s="2" t="n">
        <v>0</v>
      </c>
      <c r="O47" s="83" t="s">
        <v>42</v>
      </c>
      <c r="P47" s="83" t="s">
        <v>42</v>
      </c>
      <c r="Q47" s="83" t="s">
        <v>42</v>
      </c>
    </row>
    <row r="48" customFormat="false" ht="15.75" hidden="false" customHeight="false" outlineLevel="0" collapsed="false">
      <c r="B48" s="69" t="s">
        <v>90</v>
      </c>
      <c r="C48" s="80" t="n">
        <f aca="false">SUM(C46:C47)</f>
        <v>209922</v>
      </c>
      <c r="D48" s="80" t="n">
        <f aca="false">SUM(D46:D47)</f>
        <v>210345</v>
      </c>
      <c r="E48" s="80" t="n">
        <f aca="false">SUM(E46:E47)</f>
        <v>210763</v>
      </c>
      <c r="F48" s="80" t="n">
        <f aca="false">SUM(F46:F47)</f>
        <v>211200</v>
      </c>
      <c r="G48" s="80" t="n">
        <f aca="false">SUM(G46:G47)</f>
        <v>211588</v>
      </c>
      <c r="H48" s="80" t="n">
        <f aca="false">SUM(H46:H47)</f>
        <v>211914</v>
      </c>
      <c r="I48" s="80" t="n">
        <f aca="false">SUM(I46:I47)</f>
        <v>212219</v>
      </c>
      <c r="J48" s="80" t="n">
        <f aca="false">SUM(J46:J47)</f>
        <v>212573</v>
      </c>
      <c r="K48" s="80" t="n">
        <f aca="false">SUM(K46:K47)</f>
        <v>212927</v>
      </c>
      <c r="L48" s="80" t="n">
        <f aca="false">SUM(L46:L47)</f>
        <v>444.17</v>
      </c>
      <c r="M48" s="80" t="n">
        <f aca="false">SUM(M46:M47)</f>
        <v>788.55</v>
      </c>
      <c r="N48" s="80" t="n">
        <f aca="false">SUM(N46:N47)</f>
        <v>1143.43</v>
      </c>
      <c r="O48" s="84" t="s">
        <v>42</v>
      </c>
      <c r="P48" s="84" t="s">
        <v>42</v>
      </c>
      <c r="Q48" s="84" t="s">
        <v>42</v>
      </c>
    </row>
    <row r="49" customFormat="false" ht="15.75" hidden="false" customHeight="false" outlineLevel="0" collapsed="false">
      <c r="B49" s="69" t="s">
        <v>50</v>
      </c>
      <c r="C49" s="80" t="n">
        <f aca="false">C48-'2022'!N58</f>
        <v>492</v>
      </c>
      <c r="D49" s="80" t="n">
        <f aca="false">D48-C48</f>
        <v>423</v>
      </c>
      <c r="E49" s="80" t="n">
        <f aca="false">E48-D48</f>
        <v>418</v>
      </c>
      <c r="F49" s="80" t="n">
        <f aca="false">F48-E48</f>
        <v>437</v>
      </c>
      <c r="G49" s="80" t="n">
        <f aca="false">G48-F48</f>
        <v>388</v>
      </c>
      <c r="H49" s="80" t="n">
        <f aca="false">H48-G48</f>
        <v>326</v>
      </c>
      <c r="I49" s="80" t="n">
        <f aca="false">I48-H48</f>
        <v>305</v>
      </c>
      <c r="J49" s="80" t="n">
        <f aca="false">J48-I48</f>
        <v>354</v>
      </c>
      <c r="K49" s="80" t="n">
        <f aca="false">K48-J48</f>
        <v>354</v>
      </c>
      <c r="L49" s="80" t="n">
        <f aca="false">444.17</f>
        <v>444.17</v>
      </c>
      <c r="M49" s="80" t="n">
        <f aca="false">M48-L48</f>
        <v>344.38</v>
      </c>
      <c r="N49" s="80" t="n">
        <f aca="false">N48-M48</f>
        <v>354.88</v>
      </c>
      <c r="O49" s="80" t="n">
        <f aca="false">SUM(C49:N49)</f>
        <v>4640.43</v>
      </c>
      <c r="P49" s="80" t="n">
        <f aca="false">AVERAGE(C49:N49)</f>
        <v>386.7025</v>
      </c>
      <c r="Q49" s="80" t="n">
        <f aca="false">MEDIAN(C49:N49)</f>
        <v>371.44</v>
      </c>
    </row>
    <row r="50" customFormat="false" ht="15.75" hidden="false" customHeight="false" outlineLevel="0" collapsed="false">
      <c r="B50" s="69" t="s">
        <v>44</v>
      </c>
      <c r="C50" s="78" t="n">
        <f aca="false">(C49-'2022'!N59)/'2022'!N59</f>
        <v>0.025</v>
      </c>
      <c r="D50" s="78" t="n">
        <f aca="false">(D49-C49)/C49</f>
        <v>-0.140243902439024</v>
      </c>
      <c r="E50" s="78" t="n">
        <f aca="false">(E49-D49)/D49</f>
        <v>-0.0118203309692671</v>
      </c>
      <c r="F50" s="78" t="n">
        <f aca="false">(F49-E49)/E49</f>
        <v>0.0454545454545455</v>
      </c>
      <c r="G50" s="78" t="n">
        <f aca="false">(G49-F49)/F49</f>
        <v>-0.112128146453089</v>
      </c>
      <c r="H50" s="78" t="n">
        <f aca="false">(H49-G49)/G49</f>
        <v>-0.15979381443299</v>
      </c>
      <c r="I50" s="78" t="n">
        <f aca="false">(I49-H49)/H49</f>
        <v>-0.0644171779141104</v>
      </c>
      <c r="J50" s="78" t="n">
        <f aca="false">(J49-I49)/I49</f>
        <v>0.160655737704918</v>
      </c>
      <c r="K50" s="78" t="n">
        <f aca="false">(K49-J49)/J49</f>
        <v>0</v>
      </c>
      <c r="L50" s="78" t="n">
        <f aca="false">(L49-K49)/K49</f>
        <v>0.254717514124294</v>
      </c>
      <c r="M50" s="78" t="n">
        <f aca="false">(M49-L49)/L49</f>
        <v>-0.224666231397888</v>
      </c>
      <c r="N50" s="78" t="n">
        <f aca="false">(N49-M49)/M49</f>
        <v>0.0304895754689592</v>
      </c>
      <c r="O50" s="80"/>
      <c r="P50" s="80"/>
      <c r="Q50" s="80"/>
    </row>
    <row r="51" customFormat="false" ht="15.75" hidden="false" customHeight="false" outlineLevel="0" collapsed="false">
      <c r="B51" s="69" t="s">
        <v>45</v>
      </c>
      <c r="C51" s="73" t="s">
        <v>42</v>
      </c>
      <c r="D51" s="73" t="s">
        <v>42</v>
      </c>
      <c r="E51" s="73" t="s">
        <v>42</v>
      </c>
      <c r="F51" s="73" t="s">
        <v>42</v>
      </c>
      <c r="G51" s="73" t="s">
        <v>42</v>
      </c>
      <c r="H51" s="73" t="s">
        <v>42</v>
      </c>
      <c r="I51" s="73" t="s">
        <v>42</v>
      </c>
      <c r="J51" s="73" t="s">
        <v>42</v>
      </c>
      <c r="K51" s="73" t="s">
        <v>42</v>
      </c>
      <c r="L51" s="73" t="s">
        <v>42</v>
      </c>
      <c r="M51" s="73" t="e">
        <f aca="false">(M49-'2022'!M59)/'2022'!M59</f>
        <v>#DIV/0!</v>
      </c>
      <c r="N51" s="73" t="n">
        <f aca="false">(N49-'2022'!N59)/'2022'!N59</f>
        <v>-0.2606666667</v>
      </c>
      <c r="O51" s="73"/>
      <c r="P51" s="73" t="n">
        <f aca="false">(P49-'2022'!P59)/'2022'!P59</f>
        <v>-0.1943697917</v>
      </c>
      <c r="Q51" s="73" t="n">
        <f aca="false">(Q49-'2022'!Q59)/'2022'!Q59</f>
        <v>-0.2261666667</v>
      </c>
    </row>
    <row r="52" customFormat="false" ht="15.75" hidden="false" customHeight="false" outlineLevel="0" collapsed="false">
      <c r="B52" s="2" t="s">
        <v>74</v>
      </c>
      <c r="C52" s="2" t="n">
        <v>78248</v>
      </c>
      <c r="D52" s="2" t="n">
        <v>79456</v>
      </c>
      <c r="E52" s="2" t="n">
        <v>80367</v>
      </c>
      <c r="F52" s="2" t="n">
        <v>81139</v>
      </c>
      <c r="G52" s="2" t="n">
        <v>81317</v>
      </c>
      <c r="H52" s="2" t="n">
        <v>81317</v>
      </c>
      <c r="I52" s="2" t="n">
        <v>81317</v>
      </c>
      <c r="J52" s="2" t="n">
        <v>81317</v>
      </c>
      <c r="K52" s="2" t="n">
        <v>81317</v>
      </c>
      <c r="L52" s="2" t="n">
        <v>81549</v>
      </c>
      <c r="M52" s="2" t="n">
        <v>82006</v>
      </c>
      <c r="N52" s="2" t="n">
        <v>83054</v>
      </c>
    </row>
    <row r="53" customFormat="false" ht="15.75" hidden="false" customHeight="false" outlineLevel="0" collapsed="false">
      <c r="B53" s="69" t="s">
        <v>75</v>
      </c>
      <c r="C53" s="80" t="n">
        <f aca="false">C52-'2022'!N62</f>
        <v>1605</v>
      </c>
      <c r="D53" s="80" t="n">
        <f aca="false">D52-C52</f>
        <v>1208</v>
      </c>
      <c r="E53" s="80" t="n">
        <f aca="false">E52-D52</f>
        <v>911</v>
      </c>
      <c r="F53" s="80" t="n">
        <f aca="false">F52-E52</f>
        <v>772</v>
      </c>
      <c r="G53" s="80" t="n">
        <f aca="false">G52-F52</f>
        <v>178</v>
      </c>
      <c r="H53" s="80" t="n">
        <f aca="false">H52-G52</f>
        <v>0</v>
      </c>
      <c r="I53" s="80" t="n">
        <f aca="false">IF(I52&gt;0,I52-H52,"")</f>
        <v>0</v>
      </c>
      <c r="J53" s="80" t="n">
        <f aca="false">IF(J52&gt;0,J52-I52,"")</f>
        <v>0</v>
      </c>
      <c r="K53" s="80" t="n">
        <f aca="false">IF(K52&gt;0,K52-J52,"")</f>
        <v>0</v>
      </c>
      <c r="L53" s="80" t="n">
        <f aca="false">IF(L52&gt;0,L52-K52,"")</f>
        <v>232</v>
      </c>
      <c r="M53" s="80" t="n">
        <f aca="false">IF(M52&gt;0,M52-L52,"")</f>
        <v>457</v>
      </c>
      <c r="N53" s="80" t="n">
        <f aca="false">IF(N52&gt;0,N52-M52,"")</f>
        <v>1048</v>
      </c>
      <c r="O53" s="80" t="n">
        <f aca="false">SUM(C53:N53)</f>
        <v>6411</v>
      </c>
      <c r="P53" s="80" t="n">
        <f aca="false">AVERAGE(C53:N53)</f>
        <v>534.25</v>
      </c>
      <c r="Q53" s="80" t="n">
        <f aca="false">MEDIAN(C53:N53)</f>
        <v>344.5</v>
      </c>
    </row>
    <row r="54" customFormat="false" ht="15.75" hidden="false" customHeight="false" outlineLevel="0" collapsed="false">
      <c r="B54" s="69" t="s">
        <v>44</v>
      </c>
      <c r="C54" s="76" t="n">
        <f aca="false">(C53-'2022'!N63)/'2022'!N63</f>
        <v>0.08961303462</v>
      </c>
      <c r="D54" s="78" t="n">
        <f aca="false">(D53-C53)/C53</f>
        <v>-0.247352024922118</v>
      </c>
      <c r="E54" s="78" t="n">
        <f aca="false">(E53-D53)/D53</f>
        <v>-0.245860927152318</v>
      </c>
      <c r="F54" s="78" t="n">
        <f aca="false">(F53-E53)/E53</f>
        <v>-0.152579582875961</v>
      </c>
      <c r="G54" s="78" t="n">
        <f aca="false">(G53-F53)/F53</f>
        <v>-0.769430051813472</v>
      </c>
      <c r="H54" s="78" t="n">
        <f aca="false">(H53-G53)/G53</f>
        <v>-1</v>
      </c>
      <c r="I54" s="107" t="n">
        <v>0</v>
      </c>
      <c r="J54" s="107" t="n">
        <v>0</v>
      </c>
      <c r="K54" s="107" t="n">
        <v>0</v>
      </c>
      <c r="L54" s="78" t="n">
        <f aca="false">0%</f>
        <v>0</v>
      </c>
      <c r="M54" s="78" t="n">
        <f aca="false">0%</f>
        <v>0</v>
      </c>
      <c r="N54" s="78" t="n">
        <f aca="false">0%</f>
        <v>0</v>
      </c>
      <c r="O54" s="80"/>
      <c r="P54" s="80"/>
      <c r="Q54" s="80"/>
    </row>
    <row r="55" customFormat="false" ht="15.75" hidden="false" customHeight="false" outlineLevel="0" collapsed="false">
      <c r="B55" s="69" t="s">
        <v>45</v>
      </c>
      <c r="C55" s="73" t="s">
        <v>42</v>
      </c>
      <c r="D55" s="73" t="s">
        <v>42</v>
      </c>
      <c r="E55" s="73" t="s">
        <v>42</v>
      </c>
      <c r="F55" s="73" t="s">
        <v>42</v>
      </c>
      <c r="G55" s="73" t="s">
        <v>42</v>
      </c>
      <c r="H55" s="73" t="s">
        <v>42</v>
      </c>
      <c r="I55" s="73" t="s">
        <v>42</v>
      </c>
      <c r="J55" s="73" t="s">
        <v>42</v>
      </c>
      <c r="K55" s="73" t="s">
        <v>42</v>
      </c>
      <c r="L55" s="73" t="s">
        <v>42</v>
      </c>
      <c r="M55" s="73" t="e">
        <f aca="false">(M53-'2022'!M63)/'2022'!M63</f>
        <v>#DIV/0!</v>
      </c>
      <c r="N55" s="73" t="n">
        <f aca="false">(N53-'2022'!N63)/'2022'!N63</f>
        <v>-0.288526816</v>
      </c>
      <c r="O55" s="73"/>
      <c r="P55" s="73" t="n">
        <f aca="false">(P53-'2022'!P63)/'2022'!P63</f>
        <v>1.538866259</v>
      </c>
      <c r="Q55" s="73" t="e">
        <f aca="false">(Q53-'2022'!Q63)/'2022'!Q63</f>
        <v>#DIV/0!</v>
      </c>
    </row>
    <row r="56" customFormat="false" ht="15.75" hidden="false" customHeight="false" outlineLevel="0" collapsed="false">
      <c r="B56" s="2" t="s">
        <v>91</v>
      </c>
      <c r="C56" s="2" t="n">
        <v>183.553</v>
      </c>
      <c r="D56" s="2" t="n">
        <v>192.442</v>
      </c>
      <c r="E56" s="2" t="n">
        <v>201.315</v>
      </c>
      <c r="F56" s="2" t="n">
        <v>211.291</v>
      </c>
      <c r="G56" s="2" t="n">
        <v>221.009</v>
      </c>
      <c r="H56" s="2" t="n">
        <v>230.582</v>
      </c>
      <c r="I56" s="2" t="n">
        <v>238.312</v>
      </c>
      <c r="J56" s="2" t="n">
        <v>249.349</v>
      </c>
      <c r="K56" s="2" t="n">
        <v>257.829</v>
      </c>
      <c r="L56" s="2" t="n">
        <v>268.315</v>
      </c>
      <c r="M56" s="2" t="n">
        <v>278.079</v>
      </c>
      <c r="N56" s="2" t="n">
        <v>287.014</v>
      </c>
    </row>
    <row r="57" customFormat="false" ht="15.75" hidden="false" customHeight="false" outlineLevel="0" collapsed="false">
      <c r="B57" s="69" t="s">
        <v>52</v>
      </c>
      <c r="C57" s="73" t="s">
        <v>42</v>
      </c>
      <c r="D57" s="80" t="n">
        <f aca="false">D56-C56</f>
        <v>8.88900000000001</v>
      </c>
      <c r="E57" s="80" t="n">
        <f aca="false">E56-D56</f>
        <v>8.87299999999999</v>
      </c>
      <c r="F57" s="80" t="n">
        <f aca="false">F56-E56</f>
        <v>9.976</v>
      </c>
      <c r="G57" s="80" t="n">
        <f aca="false">G56-F56</f>
        <v>9.71799999999999</v>
      </c>
      <c r="H57" s="80" t="n">
        <f aca="false">H56-G56</f>
        <v>9.57300000000001</v>
      </c>
      <c r="I57" s="80" t="n">
        <f aca="false">I56-H56</f>
        <v>7.73000000000002</v>
      </c>
      <c r="J57" s="80" t="n">
        <f aca="false">J56-I56</f>
        <v>11.037</v>
      </c>
      <c r="K57" s="80" t="n">
        <f aca="false">K56-J56</f>
        <v>8.48000000000002</v>
      </c>
      <c r="L57" s="80" t="n">
        <f aca="false">L56-K56</f>
        <v>10.486</v>
      </c>
      <c r="M57" s="80" t="n">
        <f aca="false">M56-L56</f>
        <v>9.76400000000001</v>
      </c>
      <c r="N57" s="80" t="n">
        <f aca="false">N56-M56</f>
        <v>8.935</v>
      </c>
      <c r="O57" s="80" t="n">
        <f aca="false">SUM(D57:N57)</f>
        <v>103.461</v>
      </c>
      <c r="P57" s="80" t="n">
        <f aca="false">AVERAGE(D57:N57)</f>
        <v>9.405545455</v>
      </c>
      <c r="Q57" s="80" t="n">
        <f aca="false">MEDIAN(D57:N57)</f>
        <v>9.573</v>
      </c>
    </row>
    <row r="58" customFormat="false" ht="15.75" hidden="false" customHeight="false" outlineLevel="0" collapsed="false">
      <c r="B58" s="69" t="s">
        <v>44</v>
      </c>
      <c r="C58" s="73" t="s">
        <v>42</v>
      </c>
      <c r="D58" s="73" t="s">
        <v>42</v>
      </c>
      <c r="E58" s="78" t="n">
        <f aca="false">(E57-D57)/D57</f>
        <v>-0.00179997750028344</v>
      </c>
      <c r="F58" s="78" t="n">
        <f aca="false">(F57-E57)/E57</f>
        <v>0.124309703595177</v>
      </c>
      <c r="G58" s="78" t="n">
        <f aca="false">(G57-F57)/F57</f>
        <v>-0.0258620689655182</v>
      </c>
      <c r="H58" s="78" t="n">
        <f aca="false">(H57-G57)/G57</f>
        <v>-0.0149207655896256</v>
      </c>
      <c r="I58" s="78" t="n">
        <f aca="false">(I57-H57)/H57</f>
        <v>-0.192520630941188</v>
      </c>
      <c r="J58" s="78" t="n">
        <f aca="false">(J57-I57)/I57</f>
        <v>0.427813712807238</v>
      </c>
      <c r="K58" s="78" t="n">
        <f aca="false">(K57-J57)/J57</f>
        <v>-0.231675274078098</v>
      </c>
      <c r="L58" s="78" t="n">
        <f aca="false">(L57-K57)/K57</f>
        <v>0.236556603773581</v>
      </c>
      <c r="M58" s="78" t="n">
        <f aca="false">(M57-L57)/L57</f>
        <v>-0.0688537097081805</v>
      </c>
      <c r="N58" s="78" t="n">
        <f aca="false">(N57-M57)/M57</f>
        <v>-0.0849037279803366</v>
      </c>
      <c r="O58" s="80"/>
      <c r="P58" s="80"/>
      <c r="Q58" s="80"/>
    </row>
    <row r="59" customFormat="false" ht="15.75" hidden="false" customHeight="false" outlineLevel="0" collapsed="false">
      <c r="B59" s="69" t="s">
        <v>45</v>
      </c>
      <c r="C59" s="73" t="s">
        <v>42</v>
      </c>
      <c r="D59" s="73" t="s">
        <v>42</v>
      </c>
      <c r="E59" s="73" t="s">
        <v>42</v>
      </c>
      <c r="F59" s="73" t="s">
        <v>42</v>
      </c>
      <c r="G59" s="73" t="s">
        <v>42</v>
      </c>
      <c r="H59" s="73" t="s">
        <v>42</v>
      </c>
      <c r="I59" s="73" t="s">
        <v>42</v>
      </c>
      <c r="J59" s="73" t="s">
        <v>42</v>
      </c>
      <c r="K59" s="73" t="s">
        <v>42</v>
      </c>
      <c r="L59" s="73" t="s">
        <v>42</v>
      </c>
      <c r="M59" s="73" t="s">
        <v>42</v>
      </c>
      <c r="N59" s="73" t="s">
        <v>42</v>
      </c>
      <c r="O59" s="80"/>
      <c r="P59" s="80"/>
      <c r="Q59" s="80"/>
    </row>
    <row r="60" customFormat="false" ht="22.05" hidden="false" customHeight="false" outlineLevel="0" collapsed="false">
      <c r="B60" s="85" t="s">
        <v>54</v>
      </c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</row>
    <row r="61" customFormat="false" ht="15.75" hidden="false" customHeight="false" outlineLevel="0" collapsed="false">
      <c r="C61" s="65" t="s">
        <v>27</v>
      </c>
      <c r="D61" s="65" t="s">
        <v>28</v>
      </c>
      <c r="E61" s="65" t="s">
        <v>29</v>
      </c>
      <c r="F61" s="65" t="s">
        <v>30</v>
      </c>
      <c r="G61" s="65" t="s">
        <v>31</v>
      </c>
      <c r="H61" s="65" t="s">
        <v>32</v>
      </c>
      <c r="I61" s="65" t="s">
        <v>33</v>
      </c>
      <c r="J61" s="65" t="s">
        <v>34</v>
      </c>
      <c r="K61" s="65" t="s">
        <v>35</v>
      </c>
      <c r="L61" s="65" t="s">
        <v>36</v>
      </c>
      <c r="M61" s="65" t="s">
        <v>37</v>
      </c>
      <c r="N61" s="65" t="s">
        <v>38</v>
      </c>
      <c r="O61" s="65" t="s">
        <v>39</v>
      </c>
      <c r="P61" s="66" t="s">
        <v>40</v>
      </c>
      <c r="Q61" s="66" t="s">
        <v>41</v>
      </c>
    </row>
    <row r="62" customFormat="false" ht="15.75" hidden="false" customHeight="false" outlineLevel="0" collapsed="false">
      <c r="B62" s="2" t="s">
        <v>55</v>
      </c>
      <c r="C62" s="2" t="n">
        <v>7</v>
      </c>
      <c r="D62" s="2" t="n">
        <v>6</v>
      </c>
      <c r="E62" s="2" t="n">
        <v>8</v>
      </c>
      <c r="F62" s="2" t="n">
        <v>5</v>
      </c>
      <c r="G62" s="2" t="n">
        <v>10</v>
      </c>
      <c r="H62" s="2" t="n">
        <v>10</v>
      </c>
      <c r="I62" s="2" t="n">
        <v>10</v>
      </c>
      <c r="J62" s="2" t="n">
        <v>11</v>
      </c>
      <c r="K62" s="2" t="n">
        <v>12</v>
      </c>
      <c r="L62" s="2" t="n">
        <v>10</v>
      </c>
      <c r="M62" s="2" t="n">
        <v>9</v>
      </c>
      <c r="N62" s="2" t="n">
        <v>9</v>
      </c>
      <c r="O62" s="0" t="n">
        <f aca="false">SUM(C62:N62)</f>
        <v>107</v>
      </c>
      <c r="P62" s="5" t="n">
        <f aca="false">AVERAGE(C62:N62)</f>
        <v>8.916666667</v>
      </c>
      <c r="Q62" s="0" t="n">
        <f aca="false">MEDIAN(C62:N62)</f>
        <v>9.5</v>
      </c>
    </row>
    <row r="63" customFormat="false" ht="15.75" hidden="false" customHeight="false" outlineLevel="0" collapsed="false">
      <c r="B63" s="69" t="s">
        <v>44</v>
      </c>
      <c r="C63" s="73" t="n">
        <f aca="false">(C62-'2022'!N72)/'2022'!N72</f>
        <v>0.75</v>
      </c>
      <c r="D63" s="78" t="n">
        <f aca="false">IF(D62&gt;0,(D62-C62)/C62,"")</f>
        <v>-0.142857142857143</v>
      </c>
      <c r="E63" s="78" t="n">
        <f aca="false">IF(E62&gt;0,(E62-D62)/D62,"")</f>
        <v>0.333333333333333</v>
      </c>
      <c r="F63" s="78" t="n">
        <f aca="false">IF(F62&gt;0,(F62-E62)/E62,"")</f>
        <v>-0.375</v>
      </c>
      <c r="G63" s="78" t="n">
        <f aca="false">IF(G62&gt;0,(G62-F62)/F62,"")</f>
        <v>1</v>
      </c>
      <c r="H63" s="78" t="n">
        <f aca="false">IF(H62&gt;0,(H62-G62)/G62,"")</f>
        <v>0</v>
      </c>
      <c r="I63" s="78" t="n">
        <f aca="false">IF(I62&gt;0,(I62-H62)/H62,"")</f>
        <v>0</v>
      </c>
      <c r="J63" s="78" t="n">
        <f aca="false">IF(J62&gt;0,(J62-I62)/I62,"")</f>
        <v>0.1</v>
      </c>
      <c r="K63" s="78" t="n">
        <f aca="false">IF(K62&gt;0,(K62-J62)/J62,"")</f>
        <v>0.0909090909090909</v>
      </c>
      <c r="L63" s="78" t="n">
        <f aca="false">IF(L62&gt;0,(L62-K62)/K62,"")</f>
        <v>-0.166666666666667</v>
      </c>
      <c r="M63" s="78" t="n">
        <f aca="false">IF(M62&gt;0,(M62-L62)/L62,"")</f>
        <v>-0.1</v>
      </c>
      <c r="N63" s="78" t="n">
        <f aca="false">IF(N62&gt;0,(N62-M62)/M62,"")</f>
        <v>0</v>
      </c>
      <c r="O63" s="73" t="s">
        <v>42</v>
      </c>
      <c r="P63" s="73" t="s">
        <v>42</v>
      </c>
      <c r="Q63" s="73" t="s">
        <v>42</v>
      </c>
    </row>
    <row r="64" customFormat="false" ht="15.75" hidden="false" customHeight="false" outlineLevel="0" collapsed="false">
      <c r="B64" s="69" t="s">
        <v>45</v>
      </c>
      <c r="C64" s="73" t="n">
        <f aca="false">(C62-'2022'!C72)/'2022'!C72</f>
        <v>-0.125</v>
      </c>
      <c r="D64" s="73" t="n">
        <f aca="false">(D62-'2022'!D72)/'2022'!D72</f>
        <v>-0.4</v>
      </c>
      <c r="E64" s="73" t="n">
        <f aca="false">(E62-'2022'!E72)/'2022'!E72</f>
        <v>0.1428571429</v>
      </c>
      <c r="F64" s="73" t="n">
        <f aca="false">(F62-'2022'!F72)/'2022'!F72</f>
        <v>-0.5</v>
      </c>
      <c r="G64" s="73" t="n">
        <f aca="false">(G62-'2022'!G72)/'2022'!G72</f>
        <v>0.4285714286</v>
      </c>
      <c r="H64" s="73" t="n">
        <f aca="false">(H62-'2022'!H72)/'2022'!H72</f>
        <v>0.1111111111</v>
      </c>
      <c r="I64" s="73" t="n">
        <f aca="false">(I62-'2022'!I72)/'2022'!I72</f>
        <v>-0.09090909091</v>
      </c>
      <c r="J64" s="73" t="n">
        <f aca="false">(J62-'2022'!J72)/'2022'!J72</f>
        <v>0.2222222222</v>
      </c>
      <c r="K64" s="73" t="n">
        <f aca="false">(K62-'2022'!K72)/'2022'!K72</f>
        <v>0</v>
      </c>
      <c r="L64" s="73" t="n">
        <f aca="false">(L62-'2022'!L72)/'2022'!L72</f>
        <v>0.25</v>
      </c>
      <c r="M64" s="73" t="n">
        <f aca="false">(M62-'2022'!M72)/'2022'!M72</f>
        <v>0.125</v>
      </c>
      <c r="N64" s="73" t="n">
        <f aca="false">(N62-'2022'!N72)/'2022'!N72</f>
        <v>1.25</v>
      </c>
      <c r="O64" s="73" t="s">
        <v>42</v>
      </c>
      <c r="P64" s="73" t="s">
        <v>42</v>
      </c>
      <c r="Q64" s="73" t="s">
        <v>42</v>
      </c>
    </row>
    <row r="65" customFormat="false" ht="15.75" hidden="false" customHeight="false" outlineLevel="0" collapsed="false">
      <c r="B65" s="2" t="s">
        <v>124</v>
      </c>
      <c r="C65" s="2" t="n">
        <f aca="false">31*4337</f>
        <v>134447</v>
      </c>
      <c r="D65" s="0" t="n">
        <f aca="false">28*3978</f>
        <v>111384</v>
      </c>
      <c r="E65" s="0" t="n">
        <f aca="false">4160*31</f>
        <v>128960</v>
      </c>
      <c r="F65" s="2" t="n">
        <v>166580</v>
      </c>
      <c r="G65" s="2" t="n">
        <f aca="false">6166*31</f>
        <v>191146</v>
      </c>
      <c r="H65" s="0" t="n">
        <f aca="false">6164*30</f>
        <v>184920</v>
      </c>
      <c r="I65" s="0" t="n">
        <f aca="false">7261*31</f>
        <v>225091</v>
      </c>
      <c r="J65" s="2" t="n">
        <v>194339</v>
      </c>
      <c r="K65" s="0" t="n">
        <f aca="false">6834*30</f>
        <v>205020</v>
      </c>
      <c r="L65" s="0" t="n">
        <f aca="false">6603*31</f>
        <v>204693</v>
      </c>
      <c r="M65" s="0" t="n">
        <f aca="false">5548*30+1000</f>
        <v>167440</v>
      </c>
      <c r="N65" s="0" t="n">
        <f aca="false">6248*31</f>
        <v>193688</v>
      </c>
      <c r="O65" s="0" t="n">
        <f aca="false">SUM(M65:N65)</f>
        <v>361128</v>
      </c>
      <c r="P65" s="0" t="n">
        <f aca="false">AVERAGE(C65:N65)</f>
        <v>175642.333333333</v>
      </c>
      <c r="Q65" s="0" t="n">
        <f aca="false">MEDIAN(C65:N65)</f>
        <v>188033</v>
      </c>
    </row>
    <row r="66" customFormat="false" ht="16.5" hidden="false" customHeight="true" outlineLevel="0" collapsed="false">
      <c r="B66" s="69" t="s">
        <v>60</v>
      </c>
      <c r="C66" s="80" t="n">
        <f aca="false">C65/31</f>
        <v>4337</v>
      </c>
      <c r="D66" s="80" t="n">
        <f aca="false">D65/28</f>
        <v>3978</v>
      </c>
      <c r="E66" s="80" t="n">
        <f aca="false">E65/31</f>
        <v>4160</v>
      </c>
      <c r="F66" s="80" t="n">
        <f aca="false">5552</f>
        <v>5552</v>
      </c>
      <c r="G66" s="75" t="n">
        <v>6566</v>
      </c>
      <c r="H66" s="75" t="n">
        <v>6164</v>
      </c>
      <c r="I66" s="75" t="n">
        <v>7261</v>
      </c>
      <c r="J66" s="75" t="n">
        <f aca="false">J65/31</f>
        <v>6269</v>
      </c>
      <c r="K66" s="75" t="n">
        <f aca="false">K65/30</f>
        <v>6834</v>
      </c>
      <c r="L66" s="80" t="n">
        <f aca="false">L65/31</f>
        <v>6603</v>
      </c>
      <c r="M66" s="87" t="n">
        <f aca="false">M65/30</f>
        <v>5581.333333</v>
      </c>
      <c r="N66" s="87" t="n">
        <f aca="false">N65/31</f>
        <v>6248</v>
      </c>
      <c r="O66" s="73" t="s">
        <v>42</v>
      </c>
      <c r="P66" s="84" t="n">
        <f aca="false">AVERAGE(C66:N66)</f>
        <v>5796.11111108333</v>
      </c>
      <c r="Q66" s="84" t="n">
        <f aca="false">MEDIAN(C66:N66)</f>
        <v>6206</v>
      </c>
    </row>
    <row r="67" customFormat="false" ht="16.5" hidden="false" customHeight="true" outlineLevel="0" collapsed="false">
      <c r="B67" s="69" t="s">
        <v>44</v>
      </c>
      <c r="C67" s="78" t="n">
        <f aca="false">(C65-'2022'!N78)/'2022'!N78</f>
        <v>0.1189370485</v>
      </c>
      <c r="D67" s="78" t="n">
        <f aca="false">(D66-C66)/C66</f>
        <v>-0.0827761125201752</v>
      </c>
      <c r="E67" s="78" t="n">
        <f aca="false">(E66-D66)/D66</f>
        <v>0.0457516339869281</v>
      </c>
      <c r="F67" s="78" t="n">
        <f aca="false">(F66-E66)/E66</f>
        <v>0.334615384615385</v>
      </c>
      <c r="G67" s="78" t="n">
        <f aca="false">(G66-F66)/F66</f>
        <v>0.182636887608069</v>
      </c>
      <c r="H67" s="78" t="n">
        <f aca="false">(H66-G66)/G66</f>
        <v>-0.0612244897959184</v>
      </c>
      <c r="I67" s="78" t="n">
        <f aca="false">(I66-H66)/H66</f>
        <v>0.177968851395198</v>
      </c>
      <c r="J67" s="78" t="n">
        <f aca="false">(J66-I66)/I66</f>
        <v>-0.136620300234128</v>
      </c>
      <c r="K67" s="78" t="n">
        <f aca="false">(K66-J66)/J66</f>
        <v>0.0901260169085979</v>
      </c>
      <c r="L67" s="78" t="n">
        <f aca="false">(L66-K66)/K66</f>
        <v>-0.033801580333626</v>
      </c>
      <c r="M67" s="78" t="n">
        <f aca="false">(M66-L66)/L66</f>
        <v>-0.154727649098895</v>
      </c>
      <c r="N67" s="78" t="n">
        <f aca="false">(N65-M65)/M65</f>
        <v>0.1567606307</v>
      </c>
      <c r="O67" s="73" t="s">
        <v>42</v>
      </c>
      <c r="P67" s="73" t="s">
        <v>42</v>
      </c>
      <c r="Q67" s="73" t="s">
        <v>42</v>
      </c>
    </row>
    <row r="68" customFormat="false" ht="15.75" hidden="false" customHeight="false" outlineLevel="0" collapsed="false">
      <c r="B68" s="69" t="s">
        <v>45</v>
      </c>
      <c r="C68" s="73" t="s">
        <v>42</v>
      </c>
      <c r="D68" s="84" t="s">
        <v>42</v>
      </c>
      <c r="E68" s="84" t="s">
        <v>42</v>
      </c>
      <c r="F68" s="84" t="s">
        <v>42</v>
      </c>
      <c r="G68" s="84" t="s">
        <v>42</v>
      </c>
      <c r="H68" s="84" t="s">
        <v>42</v>
      </c>
      <c r="I68" s="84" t="s">
        <v>42</v>
      </c>
      <c r="J68" s="84" t="s">
        <v>42</v>
      </c>
      <c r="K68" s="84" t="s">
        <v>42</v>
      </c>
      <c r="L68" s="84" t="s">
        <v>42</v>
      </c>
      <c r="M68" s="73" t="n">
        <f aca="false">(M65-'2022'!M78)/'2022'!M78</f>
        <v>0.008370972599</v>
      </c>
      <c r="N68" s="73" t="s">
        <v>42</v>
      </c>
      <c r="O68" s="73" t="s">
        <v>42</v>
      </c>
      <c r="P68" s="73" t="s">
        <v>42</v>
      </c>
      <c r="Q68" s="73" t="s">
        <v>42</v>
      </c>
    </row>
    <row r="72" customFormat="false" ht="15.75" hidden="false" customHeight="false" outlineLevel="0" collapsed="false">
      <c r="B72" s="2" t="s">
        <v>125</v>
      </c>
    </row>
    <row r="73" customFormat="false" ht="15.75" hidden="false" customHeight="false" outlineLevel="0" collapsed="false">
      <c r="B73" s="2" t="s">
        <v>126</v>
      </c>
      <c r="C73" s="0" t="n">
        <f aca="false">21.8*12</f>
        <v>261.6</v>
      </c>
    </row>
    <row r="74" customFormat="false" ht="15.75" hidden="false" customHeight="false" outlineLevel="0" collapsed="false">
      <c r="B74" s="2" t="s">
        <v>127</v>
      </c>
      <c r="C74" s="2" t="n">
        <v>120</v>
      </c>
      <c r="D74" s="2" t="n">
        <v>60</v>
      </c>
    </row>
    <row r="75" customFormat="false" ht="15.75" hidden="false" customHeight="false" outlineLevel="0" collapsed="false">
      <c r="B75" s="2" t="s">
        <v>128</v>
      </c>
      <c r="C75" s="2" t="n">
        <v>60</v>
      </c>
    </row>
    <row r="76" customFormat="false" ht="15.75" hidden="false" customHeight="false" outlineLevel="0" collapsed="false">
      <c r="B76" s="2" t="s">
        <v>129</v>
      </c>
      <c r="C76" s="77" t="n">
        <v>411.95</v>
      </c>
      <c r="D76" s="2" t="s">
        <v>130</v>
      </c>
    </row>
    <row r="77" customFormat="false" ht="15.75" hidden="false" customHeight="false" outlineLevel="0" collapsed="false">
      <c r="B77" s="2" t="s">
        <v>131</v>
      </c>
      <c r="C77" s="2" t="n">
        <v>420.8</v>
      </c>
      <c r="D77" s="2" t="s">
        <v>130</v>
      </c>
    </row>
    <row r="78" customFormat="false" ht="15.75" hidden="false" customHeight="false" outlineLevel="0" collapsed="false">
      <c r="B78" s="2" t="s">
        <v>132</v>
      </c>
      <c r="C78" s="0" t="n">
        <f aca="false">220-165</f>
        <v>55</v>
      </c>
      <c r="D78" s="2" t="s">
        <v>133</v>
      </c>
    </row>
    <row r="81" customFormat="false" ht="15.75" hidden="false" customHeight="false" outlineLevel="0" collapsed="false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3"/>
      <c r="P81" s="1"/>
      <c r="Q81" s="1"/>
    </row>
  </sheetData>
  <mergeCells count="27">
    <mergeCell ref="D2:F2"/>
    <mergeCell ref="D3:K3"/>
    <mergeCell ref="M3:N3"/>
    <mergeCell ref="D4:F4"/>
    <mergeCell ref="H4:K4"/>
    <mergeCell ref="M4:N4"/>
    <mergeCell ref="D5:F5"/>
    <mergeCell ref="H5:K5"/>
    <mergeCell ref="D6:F6"/>
    <mergeCell ref="H6:K6"/>
    <mergeCell ref="M6:N6"/>
    <mergeCell ref="D7:F7"/>
    <mergeCell ref="H7:K7"/>
    <mergeCell ref="D8:N8"/>
    <mergeCell ref="D9:F9"/>
    <mergeCell ref="D10:N10"/>
    <mergeCell ref="D11:F11"/>
    <mergeCell ref="H11:K11"/>
    <mergeCell ref="D12:F12"/>
    <mergeCell ref="H12:K12"/>
    <mergeCell ref="M12:N12"/>
    <mergeCell ref="D13:F13"/>
    <mergeCell ref="H13:K13"/>
    <mergeCell ref="B15:Q15"/>
    <mergeCell ref="B37:Q37"/>
    <mergeCell ref="B44:Q44"/>
    <mergeCell ref="B60:Q60"/>
  </mergeCells>
  <conditionalFormatting sqref="M4:N7 O5:O7 M9:O9 M11:O13">
    <cfRule type="cellIs" priority="2" operator="lessThan" aboveAverage="0" equalAverage="0" bottom="0" percent="0" rank="0" text="" dxfId="0">
      <formula>0.35</formula>
    </cfRule>
  </conditionalFormatting>
  <conditionalFormatting sqref="M4:N7 O5:O7 M9:O9 M11:O13">
    <cfRule type="cellIs" priority="3" operator="between" aboveAverage="0" equalAverage="0" bottom="0" percent="0" rank="0" text="" dxfId="1">
      <formula>0.36</formula>
      <formula>0.6</formula>
    </cfRule>
  </conditionalFormatting>
  <conditionalFormatting sqref="M4:N7 O5:O7 M9:O9 M11:O13">
    <cfRule type="cellIs" priority="4" operator="between" aboveAverage="0" equalAverage="0" bottom="0" percent="0" rank="0" text="" dxfId="2">
      <formula>0.6</formula>
      <formula>0.85</formula>
    </cfRule>
  </conditionalFormatting>
  <conditionalFormatting sqref="M4:N7 O5:O7 M9:O9 M11:O13">
    <cfRule type="cellIs" priority="5" operator="between" aboveAverage="0" equalAverage="0" bottom="0" percent="0" rank="0" text="" dxfId="3">
      <formula>0.86</formula>
      <formula>0.99</formula>
    </cfRule>
  </conditionalFormatting>
  <conditionalFormatting sqref="M4:N7 O5:O7 M9:O9 M11:O13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"/>
    <col collapsed="false" customWidth="true" hidden="false" outlineLevel="0" max="3" min="3" style="0" width="9.88"/>
    <col collapsed="false" customWidth="true" hidden="false" outlineLevel="0" max="4" min="4" style="0" width="6.88"/>
    <col collapsed="false" customWidth="true" hidden="false" outlineLevel="0" max="5" min="5" style="0" width="7.88"/>
    <col collapsed="false" customWidth="true" hidden="false" outlineLevel="0" max="9" min="6" style="0" width="9.51"/>
    <col collapsed="false" customWidth="true" hidden="false" outlineLevel="0" max="10" min="10" style="0" width="9.88"/>
    <col collapsed="false" customWidth="true" hidden="false" outlineLevel="0" max="11" min="11" style="0" width="9.13"/>
    <col collapsed="false" customWidth="true" hidden="false" outlineLevel="0" max="12" min="12" style="0" width="11.25"/>
    <col collapsed="false" customWidth="true" hidden="false" outlineLevel="0" max="16" min="16" style="0" width="11.63"/>
  </cols>
  <sheetData>
    <row r="1" customFormat="false" ht="15.75" hidden="false" customHeight="false" outlineLevel="0" collapsed="false">
      <c r="A1" s="2" t="s">
        <v>97</v>
      </c>
    </row>
    <row r="2" customFormat="false" ht="15.75" hidden="false" customHeight="false" outlineLevel="0" collapsed="false">
      <c r="B2" s="48" t="s">
        <v>84</v>
      </c>
      <c r="C2" s="48"/>
      <c r="D2" s="48"/>
      <c r="E2" s="49" t="n">
        <v>2021</v>
      </c>
      <c r="F2" s="49" t="s">
        <v>98</v>
      </c>
      <c r="G2" s="49" t="s">
        <v>99</v>
      </c>
      <c r="H2" s="49" t="s">
        <v>100</v>
      </c>
      <c r="I2" s="49" t="s">
        <v>100</v>
      </c>
      <c r="J2" s="49" t="s">
        <v>9</v>
      </c>
      <c r="K2" s="49" t="s">
        <v>11</v>
      </c>
      <c r="L2" s="49" t="s">
        <v>101</v>
      </c>
      <c r="N2" s="108" t="s">
        <v>134</v>
      </c>
    </row>
    <row r="3" customFormat="false" ht="15.75" hidden="false" customHeight="false" outlineLevel="0" collapsed="false">
      <c r="B3" s="60" t="s">
        <v>12</v>
      </c>
      <c r="C3" s="60"/>
      <c r="D3" s="60"/>
      <c r="E3" s="60"/>
      <c r="F3" s="60"/>
      <c r="G3" s="60"/>
      <c r="H3" s="60"/>
      <c r="I3" s="60"/>
      <c r="J3" s="92" t="n">
        <v>44926</v>
      </c>
      <c r="K3" s="53"/>
      <c r="L3" s="53"/>
      <c r="N3" s="2" t="s">
        <v>135</v>
      </c>
      <c r="O3" s="2" t="s">
        <v>136</v>
      </c>
    </row>
    <row r="4" customFormat="false" ht="17.65" hidden="false" customHeight="false" outlineLevel="0" collapsed="false">
      <c r="B4" s="54" t="s">
        <v>137</v>
      </c>
      <c r="C4" s="54"/>
      <c r="D4" s="54"/>
      <c r="E4" s="55" t="n">
        <f aca="false">'2021'!J4</f>
        <v>4352.280833</v>
      </c>
      <c r="F4" s="93" t="s">
        <v>104</v>
      </c>
      <c r="G4" s="93"/>
      <c r="H4" s="93"/>
      <c r="I4" s="93"/>
      <c r="J4" s="94" t="n">
        <f aca="false">P35</f>
        <v>5033.684167</v>
      </c>
      <c r="K4" s="57" t="n">
        <f aca="false">4500/J4</f>
        <v>0.8939774231</v>
      </c>
      <c r="L4" s="57"/>
      <c r="N4" s="109" t="s">
        <v>138</v>
      </c>
      <c r="O4" s="109"/>
    </row>
    <row r="5" customFormat="false" ht="17.65" hidden="false" customHeight="false" outlineLevel="0" collapsed="false">
      <c r="B5" s="54" t="s">
        <v>139</v>
      </c>
      <c r="C5" s="54"/>
      <c r="D5" s="54"/>
      <c r="E5" s="56" t="n">
        <f aca="false">25%</f>
        <v>0.25</v>
      </c>
      <c r="F5" s="93" t="s">
        <v>104</v>
      </c>
      <c r="G5" s="93"/>
      <c r="H5" s="93"/>
      <c r="I5" s="93"/>
      <c r="J5" s="95" t="n">
        <f aca="false">O43</f>
        <v>0.2258578348</v>
      </c>
      <c r="K5" s="57" t="n">
        <f aca="false">(J5+1)/(1.07)</f>
        <v>1.145661528</v>
      </c>
      <c r="L5" s="57" t="n">
        <f aca="false">(J5+1)/(MONTH(DATEVALUE(J3))*((1.07)/12))</f>
        <v>1.145661528</v>
      </c>
      <c r="N5" s="109" t="s">
        <v>140</v>
      </c>
      <c r="O5" s="109"/>
    </row>
    <row r="6" customFormat="false" ht="17.65" hidden="false" customHeight="false" outlineLevel="0" collapsed="false">
      <c r="B6" s="54" t="s">
        <v>141</v>
      </c>
      <c r="C6" s="54"/>
      <c r="D6" s="54"/>
      <c r="E6" s="96" t="n">
        <v>11.6</v>
      </c>
      <c r="F6" s="93" t="s">
        <v>104</v>
      </c>
      <c r="G6" s="93"/>
      <c r="H6" s="93"/>
      <c r="I6" s="93"/>
      <c r="J6" s="99" t="n">
        <f aca="false">N31</f>
        <v>12.6</v>
      </c>
      <c r="K6" s="57" t="n">
        <f aca="false">MAX(0,(J6-E6)/(20-E6))</f>
        <v>0.119047619</v>
      </c>
      <c r="L6" s="57" t="n">
        <f aca="false">MAX(0, (J6-E6)/(MONTH(DATEVALUE(J3))*((20-E6)/12)))</f>
        <v>0.119047619</v>
      </c>
      <c r="N6" s="2" t="s">
        <v>142</v>
      </c>
    </row>
    <row r="7" customFormat="false" ht="17.65" hidden="false" customHeight="false" outlineLevel="0" collapsed="false">
      <c r="B7" s="54" t="s">
        <v>143</v>
      </c>
      <c r="C7" s="54"/>
      <c r="D7" s="54"/>
      <c r="E7" s="62" t="n">
        <f aca="false">'2021'!J7</f>
        <v>48.11196649</v>
      </c>
      <c r="F7" s="93" t="s">
        <v>104</v>
      </c>
      <c r="G7" s="93"/>
      <c r="H7" s="93"/>
      <c r="I7" s="93"/>
      <c r="J7" s="94" t="n">
        <f aca="false">P44*100</f>
        <v>47.05738727</v>
      </c>
      <c r="K7" s="57" t="n">
        <f aca="false">J7/55</f>
        <v>0.8555888595</v>
      </c>
      <c r="L7" s="57"/>
    </row>
    <row r="8" customFormat="false" ht="17.65" hidden="false" customHeight="false" outlineLevel="0" collapsed="false">
      <c r="B8" s="54" t="s">
        <v>18</v>
      </c>
      <c r="C8" s="54"/>
      <c r="D8" s="54"/>
      <c r="E8" s="54" t="n">
        <f aca="false">'2021'!J8</f>
        <v>3</v>
      </c>
      <c r="F8" s="93" t="s">
        <v>104</v>
      </c>
      <c r="G8" s="93"/>
      <c r="H8" s="93"/>
      <c r="I8" s="93"/>
      <c r="J8" s="99" t="n">
        <v>4</v>
      </c>
      <c r="K8" s="57" t="n">
        <f aca="false">J8/3</f>
        <v>1.333333333</v>
      </c>
      <c r="L8" s="57" t="n">
        <f aca="false">J8/(MONTH(DATEVALUE(J3))*(3/12))</f>
        <v>1.333333333</v>
      </c>
      <c r="N8" s="108"/>
    </row>
    <row r="9" customFormat="false" ht="15.75" hidden="false" customHeight="false" outlineLevel="0" collapsed="false">
      <c r="B9" s="60" t="s">
        <v>111</v>
      </c>
      <c r="C9" s="60"/>
      <c r="D9" s="60"/>
      <c r="E9" s="60"/>
      <c r="F9" s="60"/>
      <c r="G9" s="60"/>
      <c r="H9" s="60"/>
      <c r="I9" s="60"/>
      <c r="J9" s="60"/>
      <c r="K9" s="60"/>
      <c r="L9" s="60"/>
    </row>
    <row r="10" customFormat="false" ht="17.65" hidden="false" customHeight="false" outlineLevel="0" collapsed="false">
      <c r="B10" s="54" t="s">
        <v>144</v>
      </c>
      <c r="C10" s="54"/>
      <c r="D10" s="54"/>
      <c r="E10" s="110" t="n">
        <v>0.6</v>
      </c>
      <c r="F10" s="100"/>
      <c r="G10" s="93" t="s">
        <v>32</v>
      </c>
      <c r="H10" s="101"/>
      <c r="I10" s="100"/>
      <c r="J10" s="102" t="n">
        <v>100</v>
      </c>
      <c r="K10" s="57" t="n">
        <f aca="false">(J10-60)/40</f>
        <v>1</v>
      </c>
      <c r="L10" s="57" t="n">
        <f aca="false">1</f>
        <v>1</v>
      </c>
    </row>
    <row r="11" customFormat="false" ht="15.75" hidden="false" customHeight="false" outlineLevel="0" collapsed="false">
      <c r="B11" s="60" t="s">
        <v>19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</row>
    <row r="12" customFormat="false" ht="17.65" hidden="false" customHeight="false" outlineLevel="0" collapsed="false">
      <c r="B12" s="54" t="s">
        <v>145</v>
      </c>
      <c r="C12" s="54"/>
      <c r="D12" s="54"/>
      <c r="E12" s="96" t="s">
        <v>42</v>
      </c>
      <c r="F12" s="101"/>
      <c r="G12" s="101"/>
      <c r="H12" s="93" t="s">
        <v>35</v>
      </c>
      <c r="I12" s="101"/>
      <c r="J12" s="111" t="n">
        <v>1</v>
      </c>
      <c r="K12" s="57" t="n">
        <f aca="false">J12</f>
        <v>1</v>
      </c>
      <c r="L12" s="57" t="n">
        <f aca="false">J12/(MIN(9, MONTH(DATEVALUE(J3)))*(1/9))</f>
        <v>1</v>
      </c>
    </row>
    <row r="13" customFormat="false" ht="17.65" hidden="false" customHeight="false" outlineLevel="0" collapsed="false">
      <c r="B13" s="54" t="s">
        <v>114</v>
      </c>
      <c r="C13" s="54"/>
      <c r="D13" s="54"/>
      <c r="E13" s="96" t="n">
        <f aca="false">'2021'!J18</f>
        <v>83</v>
      </c>
      <c r="F13" s="93" t="s">
        <v>104</v>
      </c>
      <c r="G13" s="93"/>
      <c r="H13" s="93"/>
      <c r="I13" s="93"/>
      <c r="J13" s="102" t="n">
        <f aca="false">O72</f>
        <v>103</v>
      </c>
      <c r="K13" s="57" t="n">
        <f aca="false">J13/100</f>
        <v>1.03</v>
      </c>
      <c r="L13" s="57" t="n">
        <f aca="false">J13/(MONTH(DATEVALUE(J3))*(100/12))</f>
        <v>1.03</v>
      </c>
    </row>
    <row r="14" customFormat="false" ht="17.65" hidden="false" customHeight="false" outlineLevel="0" collapsed="false">
      <c r="B14" s="54" t="s">
        <v>146</v>
      </c>
      <c r="C14" s="54"/>
      <c r="D14" s="54"/>
      <c r="E14" s="96" t="n">
        <f aca="false">'2021'!J19</f>
        <v>145</v>
      </c>
      <c r="F14" s="93" t="s">
        <v>104</v>
      </c>
      <c r="G14" s="93"/>
      <c r="H14" s="93"/>
      <c r="I14" s="93"/>
      <c r="J14" s="102" t="n">
        <f aca="false">O75</f>
        <v>261</v>
      </c>
      <c r="K14" s="57" t="n">
        <f aca="false">J14/150</f>
        <v>1.74</v>
      </c>
      <c r="L14" s="57" t="n">
        <f aca="false">J14/(MONTH(DATEVALUE(J3))*(150/12))</f>
        <v>1.74</v>
      </c>
      <c r="N14" s="108"/>
    </row>
    <row r="15" customFormat="false" ht="17.65" hidden="false" customHeight="false" outlineLevel="0" collapsed="false">
      <c r="B15" s="54" t="s">
        <v>147</v>
      </c>
      <c r="C15" s="54"/>
      <c r="D15" s="54"/>
      <c r="E15" s="96" t="s">
        <v>42</v>
      </c>
      <c r="F15" s="101"/>
      <c r="G15" s="101"/>
      <c r="H15" s="93" t="s">
        <v>35</v>
      </c>
      <c r="I15" s="101"/>
      <c r="J15" s="111" t="n">
        <v>1</v>
      </c>
      <c r="K15" s="57" t="n">
        <f aca="false">J15</f>
        <v>1</v>
      </c>
      <c r="L15" s="57" t="n">
        <f aca="false">J15/(MIN(9,MONTH(DATEVALUE(J3)))*(1/9))</f>
        <v>1</v>
      </c>
    </row>
    <row r="25" customFormat="false" ht="22.05" hidden="false" customHeight="false" outlineLevel="0" collapsed="false">
      <c r="B25" s="64" t="s">
        <v>26</v>
      </c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</row>
    <row r="26" customFormat="false" ht="15.75" hidden="false" customHeight="false" outlineLevel="0" collapsed="false">
      <c r="B26" s="1"/>
      <c r="C26" s="65" t="s">
        <v>27</v>
      </c>
      <c r="D26" s="65" t="s">
        <v>28</v>
      </c>
      <c r="E26" s="65" t="s">
        <v>29</v>
      </c>
      <c r="F26" s="65" t="s">
        <v>30</v>
      </c>
      <c r="G26" s="65" t="s">
        <v>31</v>
      </c>
      <c r="H26" s="65" t="s">
        <v>32</v>
      </c>
      <c r="I26" s="65" t="s">
        <v>33</v>
      </c>
      <c r="J26" s="65" t="s">
        <v>34</v>
      </c>
      <c r="K26" s="65" t="s">
        <v>35</v>
      </c>
      <c r="L26" s="65" t="s">
        <v>36</v>
      </c>
      <c r="M26" s="65" t="s">
        <v>37</v>
      </c>
      <c r="N26" s="65" t="s">
        <v>38</v>
      </c>
      <c r="O26" s="65" t="s">
        <v>39</v>
      </c>
      <c r="P26" s="66" t="s">
        <v>40</v>
      </c>
      <c r="Q26" s="66" t="s">
        <v>41</v>
      </c>
    </row>
    <row r="27" customFormat="false" ht="15.75" hidden="false" customHeight="false" outlineLevel="0" collapsed="false">
      <c r="B27" s="67" t="s">
        <v>4</v>
      </c>
      <c r="C27" s="74" t="n">
        <v>480215</v>
      </c>
      <c r="D27" s="74" t="n">
        <v>495051</v>
      </c>
      <c r="E27" s="74" t="n">
        <v>543405</v>
      </c>
      <c r="F27" s="74" t="n">
        <v>548104</v>
      </c>
      <c r="G27" s="74" t="n">
        <v>550078</v>
      </c>
      <c r="H27" s="74" t="n">
        <v>511666</v>
      </c>
      <c r="I27" s="74" t="n">
        <v>546263</v>
      </c>
      <c r="J27" s="74" t="n">
        <v>555119</v>
      </c>
      <c r="K27" s="74" t="n">
        <v>527605</v>
      </c>
      <c r="L27" s="74" t="n">
        <v>546117</v>
      </c>
      <c r="M27" s="2" t="n">
        <v>548179</v>
      </c>
      <c r="N27" s="74" t="n">
        <v>535829.54</v>
      </c>
      <c r="O27" s="2" t="n">
        <f aca="false">IFERROR(LOOKUP(9^9,C27:N27),"")</f>
        <v>535829.54</v>
      </c>
      <c r="P27" s="2" t="s">
        <v>42</v>
      </c>
      <c r="Q27" s="2" t="s">
        <v>42</v>
      </c>
    </row>
    <row r="28" customFormat="false" ht="15.75" hidden="false" customHeight="false" outlineLevel="0" collapsed="false">
      <c r="B28" s="69" t="s">
        <v>43</v>
      </c>
      <c r="C28" s="104" t="n">
        <f aca="false">IF(C27&gt;0,C27-'2021'!N27,"")</f>
        <v>9961</v>
      </c>
      <c r="D28" s="104" t="n">
        <f aca="false">IF(D27&gt;0,D27-C27,"")</f>
        <v>14836</v>
      </c>
      <c r="E28" s="104" t="n">
        <f aca="false">IF(E27&gt;0,E27-D27,"")</f>
        <v>48354</v>
      </c>
      <c r="F28" s="104" t="n">
        <f aca="false">IF(F27&gt;0,F27-E27,"")</f>
        <v>4699</v>
      </c>
      <c r="G28" s="104" t="n">
        <f aca="false">IF(G27&gt;0,G27-F27,"")</f>
        <v>1974</v>
      </c>
      <c r="H28" s="104" t="n">
        <f aca="false">IF(H27&gt;0,H27-G27,"")</f>
        <v>-38412</v>
      </c>
      <c r="I28" s="104" t="n">
        <f aca="false">IF(I27&gt;0,I27-H27,"")</f>
        <v>34597</v>
      </c>
      <c r="J28" s="104" t="n">
        <f aca="false">IF(J27&gt;0,J27-I27,"")</f>
        <v>8856</v>
      </c>
      <c r="K28" s="104" t="n">
        <f aca="false">IF(K27&gt;0,K27-J27,"")</f>
        <v>-27514</v>
      </c>
      <c r="L28" s="104" t="n">
        <f aca="false">IF(L27&gt;0,L27-K27,"")</f>
        <v>18512</v>
      </c>
      <c r="M28" s="104" t="n">
        <f aca="false">IF(M27&gt;0,M27-L27,"")</f>
        <v>2062</v>
      </c>
      <c r="N28" s="104" t="n">
        <f aca="false">IF(N27&gt;0,N27-M27,"")</f>
        <v>-12349.46</v>
      </c>
      <c r="O28" s="71" t="n">
        <f aca="false">SUM(C28:N28)</f>
        <v>65575.54</v>
      </c>
      <c r="P28" s="71" t="n">
        <f aca="false">AVERAGE(C28:N28)</f>
        <v>5464.62833333334</v>
      </c>
      <c r="Q28" s="71" t="n">
        <f aca="false">MEDIAN(C28:N28)</f>
        <v>6777.5</v>
      </c>
    </row>
    <row r="29" customFormat="false" ht="15.75" hidden="false" customHeight="false" outlineLevel="0" collapsed="false">
      <c r="B29" s="69" t="s">
        <v>44</v>
      </c>
      <c r="C29" s="72" t="n">
        <f aca="false">IF(C27&gt;0,(C27-'2021'!N27)/'2021'!N27,"")</f>
        <v>0.02118216964</v>
      </c>
      <c r="D29" s="72" t="n">
        <f aca="false">IF(D27&gt;0,(D27-C27)/C27,"")</f>
        <v>0.0308944951740366</v>
      </c>
      <c r="E29" s="72" t="n">
        <f aca="false">IF(E27&gt;0,(E27-D27)/D27,"")</f>
        <v>0.0976747850221492</v>
      </c>
      <c r="F29" s="72" t="n">
        <f aca="false">IF(F27&gt;0,(F27-E27)/E27,"")</f>
        <v>0.0086473256594989</v>
      </c>
      <c r="G29" s="72" t="n">
        <f aca="false">IF(G27&gt;0,(G27-F27)/F27,"")</f>
        <v>0.00360150628347905</v>
      </c>
      <c r="H29" s="72" t="n">
        <f aca="false">IF(H27&gt;0,(H27-G27)/G27,"")</f>
        <v>-0.0698300968226324</v>
      </c>
      <c r="I29" s="72" t="n">
        <f aca="false">IF(I27&gt;0,(I27-H27)/H27,"")</f>
        <v>0.0676163747444622</v>
      </c>
      <c r="J29" s="72" t="n">
        <f aca="false">IF(J27&gt;0,(J27-I27)/I27,"")</f>
        <v>0.0162119711567505</v>
      </c>
      <c r="K29" s="72" t="n">
        <f aca="false">IF(K27&gt;0,(K27-J27)/J27,"")</f>
        <v>-0.0495641475071111</v>
      </c>
      <c r="L29" s="72" t="n">
        <f aca="false">IF(L27&gt;0,(L27-K27)/K27,"")</f>
        <v>0.0350868547492916</v>
      </c>
      <c r="M29" s="72" t="n">
        <f aca="false">IF(M27&gt;0,(M27-L27)/L27,"")</f>
        <v>0.00377574768776654</v>
      </c>
      <c r="N29" s="72" t="n">
        <f aca="false">IF(N27&gt;0,(N27-M27)/M27,"")</f>
        <v>-0.0225281523006171</v>
      </c>
      <c r="O29" s="73" t="s">
        <v>42</v>
      </c>
      <c r="P29" s="72" t="n">
        <f aca="false">AVERAGE(C29:N29)</f>
        <v>0.0118974027905895</v>
      </c>
      <c r="Q29" s="72" t="n">
        <f aca="false">MEDIAN(C29:N29)</f>
        <v>0.0124296484081247</v>
      </c>
    </row>
    <row r="30" customFormat="false" ht="15.75" hidden="false" customHeight="false" outlineLevel="0" collapsed="false">
      <c r="B30" s="69" t="s">
        <v>45</v>
      </c>
      <c r="C30" s="72" t="n">
        <f aca="false">IF(C27&gt;0,(C27-'2021'!C27)/'2021'!C27,"")</f>
        <v>0.3843277774</v>
      </c>
      <c r="D30" s="72" t="n">
        <f aca="false">IF(D27&gt;0,(D27-'2021'!D27)/'2021'!D27,"")</f>
        <v>0.3702885613</v>
      </c>
      <c r="E30" s="72" t="n">
        <f aca="false">IF(E27&gt;0,(E27-'2021'!E27)/'2021'!E27,"")</f>
        <v>0.3766219619</v>
      </c>
      <c r="F30" s="72" t="n">
        <f aca="false">IF(F27&gt;0,(F27-'2021'!F27)/'2021'!F27,"")</f>
        <v>0.346782219</v>
      </c>
      <c r="G30" s="72" t="n">
        <f aca="false">IF(G27&gt;0,(G27-'2021'!G27)/'2021'!G27,"")</f>
        <v>0.3750128108</v>
      </c>
      <c r="H30" s="72" t="n">
        <f aca="false">IF(H27&gt;0,(H27-'2021'!H27)/'2021'!H27,"")</f>
        <v>0.2214980758</v>
      </c>
      <c r="I30" s="72" t="n">
        <f aca="false">IF(I27&gt;0,(I27-'2021'!I27)/'2021'!I27,"")</f>
        <v>0.3401905295</v>
      </c>
      <c r="J30" s="72" t="n">
        <f aca="false">IF(J27&gt;0,(J27-'2021'!J27)/'2021'!J27,"")</f>
        <v>0.2952940737</v>
      </c>
      <c r="K30" s="72" t="n">
        <f aca="false">IF(K27&gt;0,(K27-'2021'!K27)/'2021'!K27,"")</f>
        <v>0.2312519399</v>
      </c>
      <c r="L30" s="72" t="n">
        <f aca="false">IF(L27&gt;0,(L27-'2021'!L27)/'2021'!L27,"")</f>
        <v>0.2192179923</v>
      </c>
      <c r="M30" s="72" t="n">
        <f aca="false">IF(M27&gt;0,(M27-'2021'!M27)/'2021'!M27,"")</f>
        <v>0.1967928565</v>
      </c>
      <c r="N30" s="72" t="n">
        <f aca="false">IF(N27&gt;0,(N27-'2021'!N27)/'2021'!N27,"")</f>
        <v>0.1394470648</v>
      </c>
      <c r="O30" s="72" t="n">
        <f aca="false">IF(O27&gt;0,(O27-'2021'!O27)/'2021'!O27,"")</f>
        <v>0.1394470648</v>
      </c>
      <c r="P30" s="72" t="n">
        <f aca="false">AVERAGE(C30:N30)</f>
        <v>0.291393821908333</v>
      </c>
      <c r="Q30" s="72" t="n">
        <f aca="false">MEDIAN(C30:N30)</f>
        <v>0.3177423016</v>
      </c>
    </row>
    <row r="31" customFormat="false" ht="15.75" hidden="false" customHeight="false" outlineLevel="0" collapsed="false">
      <c r="B31" s="67" t="s">
        <v>5</v>
      </c>
      <c r="C31" s="2" t="n">
        <v>11.53</v>
      </c>
      <c r="D31" s="2" t="n">
        <v>11.85</v>
      </c>
      <c r="E31" s="2" t="n">
        <v>13.89</v>
      </c>
      <c r="F31" s="2" t="n">
        <v>14.08</v>
      </c>
      <c r="G31" s="2" t="n">
        <v>13.29</v>
      </c>
      <c r="H31" s="2" t="n">
        <v>15.43</v>
      </c>
      <c r="I31" s="2" t="n">
        <v>14.09</v>
      </c>
      <c r="J31" s="74" t="n">
        <v>16.91</v>
      </c>
      <c r="K31" s="74" t="n">
        <v>14.73</v>
      </c>
      <c r="L31" s="74" t="n">
        <v>15.03</v>
      </c>
      <c r="M31" s="2" t="n">
        <v>13.07</v>
      </c>
      <c r="N31" s="2" t="n">
        <v>12.6</v>
      </c>
      <c r="O31" s="3" t="n">
        <f aca="false">IFERROR(LOOKUP(9^9,C31:N31),"")</f>
        <v>12.6</v>
      </c>
      <c r="P31" s="3" t="n">
        <f aca="false">AVERAGE(C31:N31)</f>
        <v>13.875</v>
      </c>
      <c r="Q31" s="3" t="n">
        <f aca="false">MEDIAN(C31:N31)</f>
        <v>13.985</v>
      </c>
    </row>
    <row r="32" customFormat="false" ht="15.75" hidden="false" customHeight="false" outlineLevel="0" collapsed="false">
      <c r="B32" s="69" t="s">
        <v>46</v>
      </c>
      <c r="C32" s="75" t="n">
        <f aca="false">C31-'2021'!N30</f>
        <v>0.11</v>
      </c>
      <c r="D32" s="75" t="n">
        <f aca="false">IF(D31&gt;0,D31-C31,"")</f>
        <v>0.32</v>
      </c>
      <c r="E32" s="75" t="n">
        <f aca="false">IF(E31&gt;0,E31-D31,"")</f>
        <v>2.04</v>
      </c>
      <c r="F32" s="75" t="n">
        <f aca="false">IF(F31&gt;0,F31-E31,"")</f>
        <v>0.19</v>
      </c>
      <c r="G32" s="75" t="n">
        <f aca="false">IF(G31&gt;0,G31-F31,"")</f>
        <v>-0.790000000000001</v>
      </c>
      <c r="H32" s="75" t="n">
        <f aca="false">IF(H31&gt;0,H31-G31,"")</f>
        <v>2.14</v>
      </c>
      <c r="I32" s="75" t="n">
        <f aca="false">IF(I31&gt;0,I31-H31,"")</f>
        <v>-1.34</v>
      </c>
      <c r="J32" s="71" t="n">
        <f aca="false">IF(J31&gt;0,J31-I31,"")</f>
        <v>2.82</v>
      </c>
      <c r="K32" s="71" t="n">
        <f aca="false">IF(K31&gt;0,K31-J31,"")</f>
        <v>-2.18</v>
      </c>
      <c r="L32" s="71" t="n">
        <f aca="false">IF(L31&gt;0,L31-K31,"")</f>
        <v>0.299999999999999</v>
      </c>
      <c r="M32" s="71" t="n">
        <f aca="false">IF(M31&gt;0,M31-L31,"")</f>
        <v>-1.96</v>
      </c>
      <c r="N32" s="75" t="n">
        <f aca="false">IF(N31&gt;0,N31-M31,"")</f>
        <v>-0.470000000000001</v>
      </c>
      <c r="O32" s="69" t="n">
        <f aca="false">SUM(C32:N32)</f>
        <v>1.18</v>
      </c>
      <c r="P32" s="69" t="n">
        <f aca="false">AVERAGE(C32:N32)</f>
        <v>0.0983333333333334</v>
      </c>
      <c r="Q32" s="69" t="n">
        <f aca="false">MEDIAN(C32:N32)</f>
        <v>0.15</v>
      </c>
    </row>
    <row r="33" customFormat="false" ht="15.75" hidden="false" customHeight="false" outlineLevel="0" collapsed="false">
      <c r="B33" s="69" t="s">
        <v>44</v>
      </c>
      <c r="C33" s="76" t="n">
        <f aca="false">(C31-'2021'!N30)/'2021'!N30</f>
        <v>0.009632224168</v>
      </c>
      <c r="D33" s="76" t="n">
        <f aca="false">IF(D31&gt;0,(D31-C31)/C31,"")</f>
        <v>0.0277536860364267</v>
      </c>
      <c r="E33" s="76" t="n">
        <f aca="false">IF(E31&gt;0,(E31-D31)/D31,"")</f>
        <v>0.172151898734177</v>
      </c>
      <c r="F33" s="76" t="n">
        <f aca="false">IF(F31&gt;0,(F31-E31)/E31,"")</f>
        <v>0.013678905687545</v>
      </c>
      <c r="G33" s="76" t="n">
        <f aca="false">IF(G31&gt;0,(G31-F31)/F31,"")</f>
        <v>-0.0561079545454546</v>
      </c>
      <c r="H33" s="76" t="n">
        <f aca="false">IF(H31&gt;0,(H31-G31)/G31,"")</f>
        <v>0.161023325808879</v>
      </c>
      <c r="I33" s="76" t="n">
        <f aca="false">IF(I31&gt;0,(I31-H31)/H31,"")</f>
        <v>-0.0868438107582631</v>
      </c>
      <c r="J33" s="76" t="n">
        <f aca="false">IF(J31&gt;0,(J31-I31)/I31,"")</f>
        <v>0.20014194464159</v>
      </c>
      <c r="K33" s="76" t="n">
        <f aca="false">IF(K31&gt;0,(K31-J31)/J31,"")</f>
        <v>-0.128917800118273</v>
      </c>
      <c r="L33" s="76" t="n">
        <f aca="false">IF(L31&gt;0,(L31-K31)/K31,"")</f>
        <v>0.020366598778004</v>
      </c>
      <c r="M33" s="76" t="n">
        <f aca="false">IF(M31&gt;0,(M31-L31)/L31,"")</f>
        <v>-0.130405854956753</v>
      </c>
      <c r="N33" s="76" t="n">
        <f aca="false">IF(N31&gt;0,(N31-M31)/M31,"")</f>
        <v>-0.0359602142310636</v>
      </c>
      <c r="O33" s="73" t="s">
        <v>42</v>
      </c>
      <c r="P33" s="72" t="n">
        <f aca="false">AVERAGE(C33:N33)</f>
        <v>0.0138760791037345</v>
      </c>
      <c r="Q33" s="72" t="n">
        <f aca="false">MEDIAN(C33:N33)</f>
        <v>0.0116555649277725</v>
      </c>
    </row>
    <row r="34" customFormat="false" ht="15.75" hidden="false" customHeight="false" outlineLevel="0" collapsed="false">
      <c r="B34" s="69" t="s">
        <v>45</v>
      </c>
      <c r="C34" s="76" t="n">
        <f aca="false">IF(C31&gt;0,(C31-'2021'!C30)/'2021'!C30,"")</f>
        <v>0.2811111111</v>
      </c>
      <c r="D34" s="76" t="n">
        <f aca="false">IF(D31&gt;0,(D31-'2021'!D30)/'2021'!D30,"")</f>
        <v>0.2116564417</v>
      </c>
      <c r="E34" s="76" t="n">
        <f aca="false">IF(E31&gt;0,(E31-'2021'!E30)/'2021'!E30,"")</f>
        <v>0.2502250225</v>
      </c>
      <c r="F34" s="76" t="n">
        <f aca="false">IF(F31&gt;0,(F31-'2021'!F30)/'2021'!F30,"")</f>
        <v>0.2211621856</v>
      </c>
      <c r="G34" s="76" t="n">
        <f aca="false">IF(G31&gt;0,(G31-'2021'!G30)/'2021'!G30,"")</f>
        <v>0.1876675603</v>
      </c>
      <c r="H34" s="76" t="n">
        <f aca="false">IF(H31&gt;0,(H31-'2021'!H30)/'2021'!H30,"")</f>
        <v>0.4723282443</v>
      </c>
      <c r="I34" s="76" t="n">
        <f aca="false">IF(I31&gt;0,(I31-'2021'!I30)/'2021'!I30,"")</f>
        <v>0.3639883833</v>
      </c>
      <c r="J34" s="76" t="n">
        <f aca="false">IF(J31&gt;0,(J31-'2021'!J30)/'2021'!J30,"")</f>
        <v>0.7669801463</v>
      </c>
      <c r="K34" s="76" t="n">
        <f aca="false">IF(K31&gt;0,(K31-'2021'!K30)/'2021'!K30,"")</f>
        <v>0.5061349693</v>
      </c>
      <c r="L34" s="76" t="n">
        <f aca="false">IF(L31&gt;0,(L31-'2021'!L30)/'2021'!L30,"")</f>
        <v>0.4232954545</v>
      </c>
      <c r="M34" s="76" t="n">
        <f aca="false">IF(M31&gt;0,(M31-'2021'!M30)/'2021'!M30,"")</f>
        <v>0.2023919043</v>
      </c>
      <c r="N34" s="76" t="n">
        <f aca="false">IF(N31&gt;0,(N31-'2021'!N30)/'2021'!N30,"")</f>
        <v>0.1033274956</v>
      </c>
      <c r="O34" s="76" t="n">
        <f aca="false">IF(O31&gt;0,(O31-'2021'!O30)/'2021'!O30,"")</f>
        <v>0.1033274956</v>
      </c>
      <c r="P34" s="72" t="n">
        <f aca="false">AVERAGE(C34:N34)</f>
        <v>0.3325224099</v>
      </c>
      <c r="Q34" s="72" t="n">
        <f aca="false">MEDIAN(C34:N34)</f>
        <v>0.2656680668</v>
      </c>
    </row>
    <row r="35" customFormat="false" ht="15.75" hidden="false" customHeight="false" outlineLevel="0" collapsed="false">
      <c r="B35" s="2" t="s">
        <v>1</v>
      </c>
      <c r="C35" s="2" t="n">
        <f aca="false">4298-234</f>
        <v>4064</v>
      </c>
      <c r="D35" s="2" t="n">
        <f aca="false">4416-283</f>
        <v>4133</v>
      </c>
      <c r="E35" s="2" t="n">
        <f aca="false">7792-843</f>
        <v>6949</v>
      </c>
      <c r="F35" s="2" t="n">
        <v>4082</v>
      </c>
      <c r="G35" s="2" t="n">
        <v>4431</v>
      </c>
      <c r="H35" s="2" t="n">
        <v>4440</v>
      </c>
      <c r="I35" s="2" t="n">
        <v>3224</v>
      </c>
      <c r="J35" s="74" t="n">
        <v>6461</v>
      </c>
      <c r="K35" s="74" t="n">
        <v>5392</v>
      </c>
      <c r="L35" s="74" t="n">
        <v>5194</v>
      </c>
      <c r="M35" s="2" t="n">
        <f aca="false">6504.52-587.31+300</f>
        <v>6217.21</v>
      </c>
      <c r="N35" s="2" t="n">
        <v>5817</v>
      </c>
      <c r="O35" s="0" t="n">
        <f aca="false">SUM(C35:N35)</f>
        <v>60404.21</v>
      </c>
      <c r="P35" s="0" t="n">
        <f aca="false">AVERAGE(C35:N35)</f>
        <v>5033.68416666667</v>
      </c>
      <c r="Q35" s="0" t="n">
        <f aca="false">MEDIAN(C35:N35)</f>
        <v>4817</v>
      </c>
    </row>
    <row r="36" customFormat="false" ht="15.75" hidden="false" customHeight="false" outlineLevel="0" collapsed="false">
      <c r="B36" s="69" t="s">
        <v>44</v>
      </c>
      <c r="C36" s="78" t="n">
        <f aca="false">(C35-'2021'!N33)/'2021'!N33</f>
        <v>-0.2758710395</v>
      </c>
      <c r="D36" s="78" t="n">
        <f aca="false">IF(D35&gt;0,(D35-C35)/C35,"")</f>
        <v>0.0169783464566929</v>
      </c>
      <c r="E36" s="78" t="n">
        <f aca="false">IF(E35&gt;0,(E35-D35)/D35,"")</f>
        <v>0.681345269779821</v>
      </c>
      <c r="F36" s="78" t="n">
        <f aca="false">IF(F35&gt;0,(F35-E35)/E35,"")</f>
        <v>-0.412577349258886</v>
      </c>
      <c r="G36" s="78" t="n">
        <f aca="false">IF(G35&gt;0,(G35-F35)/F35,"")</f>
        <v>0.0854973052425282</v>
      </c>
      <c r="H36" s="78" t="n">
        <f aca="false">IF(H35&gt;0,(H35-G35)/G35,"")</f>
        <v>0.002031144211239</v>
      </c>
      <c r="I36" s="78" t="n">
        <f aca="false">IF(I35&gt;0,(I35-H35)/H35,"")</f>
        <v>-0.273873873873874</v>
      </c>
      <c r="J36" s="78" t="n">
        <f aca="false">IF(J35&gt;0,(J35-I35)/I35,"")</f>
        <v>1.00403225806452</v>
      </c>
      <c r="K36" s="78" t="n">
        <f aca="false">IF(K35&gt;0,(K35-J35)/J35,"")</f>
        <v>-0.165454264045813</v>
      </c>
      <c r="L36" s="78" t="n">
        <f aca="false">IF(L35&gt;0,(L35-K35)/K35,"")</f>
        <v>-0.0367210682492582</v>
      </c>
      <c r="M36" s="78" t="n">
        <f aca="false">IF(M35&gt;0,(M35-L35)/L35,"")</f>
        <v>0.196998459761263</v>
      </c>
      <c r="N36" s="78" t="n">
        <f aca="false">IF(N35&gt;0,(N35-M35)/M35,"")</f>
        <v>-0.064371317681082</v>
      </c>
      <c r="O36" s="73" t="s">
        <v>42</v>
      </c>
      <c r="P36" s="78" t="n">
        <f aca="false">AVERAGE(C36:N36)</f>
        <v>0.0631678225755956</v>
      </c>
      <c r="Q36" s="78" t="n">
        <f aca="false">MEDIAN(C36:N36)</f>
        <v>-0.0173449620190096</v>
      </c>
    </row>
    <row r="37" customFormat="false" ht="15.75" hidden="false" customHeight="false" outlineLevel="0" collapsed="false">
      <c r="B37" s="69" t="s">
        <v>45</v>
      </c>
      <c r="C37" s="78" t="n">
        <f aca="false">IF(C35&gt;0,(C35-'2021'!C33)/'2021'!C33,"")</f>
        <v>-0.02095880511</v>
      </c>
      <c r="D37" s="78" t="n">
        <f aca="false">IF(D35&gt;0,(D35-'2021'!D33)/'2021'!D33,"")</f>
        <v>0.06219480853</v>
      </c>
      <c r="E37" s="78" t="n">
        <f aca="false">IF(E35&gt;0,(E35-'2021'!E33)/'2021'!E33,"")</f>
        <v>-0.05545738752</v>
      </c>
      <c r="F37" s="78" t="n">
        <f aca="false">IF(F35&gt;0,(F35-'2021'!F33)/'2021'!F33,"")</f>
        <v>0.2119952494</v>
      </c>
      <c r="G37" s="78" t="n">
        <f aca="false">IF(G35&gt;0,(G35-'2021'!G33)/'2021'!G33,"")</f>
        <v>0.1617724174</v>
      </c>
      <c r="H37" s="78" t="n">
        <f aca="false">IF(H35&gt;0,(H35-'2021'!H33)/'2021'!H33,"")</f>
        <v>-0.2532795156</v>
      </c>
      <c r="I37" s="78" t="n">
        <f aca="false">IF(I35&gt;0,(I35-'2021'!I33)/'2021'!I33,"")</f>
        <v>0.1003412969</v>
      </c>
      <c r="J37" s="78" t="n">
        <f aca="false">IF(J35&gt;0,(J35-'2021'!J33)/'2021'!J33,"")</f>
        <v>1.371879589</v>
      </c>
      <c r="K37" s="78" t="n">
        <f aca="false">IF(K35&gt;0,(K35-'2021'!K33)/'2021'!K33,"")</f>
        <v>0.2501738929</v>
      </c>
      <c r="L37" s="78" t="n">
        <f aca="false">IF(L35&gt;0,(L35-'2021'!L33)/'2021'!L33,"")</f>
        <v>0.3033877039</v>
      </c>
      <c r="M37" s="78" t="n">
        <f aca="false">IF(M35&gt;0,(M35-'2021'!M33)/'2021'!M33,"")</f>
        <v>0.5031539297</v>
      </c>
      <c r="N37" s="78" t="n">
        <f aca="false">IF(N35&gt;0,(N35-'2021'!N33)/'2021'!N33,"")</f>
        <v>0.03648084729</v>
      </c>
      <c r="O37" s="78" t="n">
        <f aca="false">IF(O35&gt;0,(O35-'2021'!O33)/'2021'!O33,"")</f>
        <v>0.1565623542</v>
      </c>
      <c r="P37" s="78" t="n">
        <f aca="false">AVERAGE(C37:N37)</f>
        <v>0.222640335565833</v>
      </c>
      <c r="Q37" s="78" t="n">
        <f aca="false">MEDIAN(C37:N37)</f>
        <v>0.13105685715</v>
      </c>
    </row>
    <row r="38" customFormat="false" ht="15.75" hidden="false" customHeight="false" outlineLevel="0" collapsed="false">
      <c r="B38" s="2" t="s">
        <v>2</v>
      </c>
      <c r="C38" s="2" t="n">
        <v>8080</v>
      </c>
      <c r="D38" s="2" t="n">
        <v>5477</v>
      </c>
      <c r="E38" s="2" t="n">
        <v>7858</v>
      </c>
      <c r="F38" s="2" t="n">
        <v>5270</v>
      </c>
      <c r="G38" s="2" t="n">
        <v>6610</v>
      </c>
      <c r="H38" s="2" t="n">
        <v>27232</v>
      </c>
      <c r="I38" s="2" t="n">
        <v>6980</v>
      </c>
      <c r="J38" s="2" t="n">
        <v>12317</v>
      </c>
      <c r="K38" s="2" t="n">
        <v>11841</v>
      </c>
      <c r="L38" s="2" t="n">
        <v>20358</v>
      </c>
      <c r="M38" s="2" t="n">
        <v>11961</v>
      </c>
      <c r="N38" s="2" t="n">
        <v>12333</v>
      </c>
      <c r="O38" s="0" t="n">
        <f aca="false">SUM(C38:N38)</f>
        <v>136317</v>
      </c>
      <c r="P38" s="0" t="n">
        <f aca="false">AVERAGE(C38:N38)</f>
        <v>11359.75</v>
      </c>
      <c r="Q38" s="0" t="n">
        <f aca="false">MEDIAN(C38:N38)</f>
        <v>9960.5</v>
      </c>
    </row>
    <row r="39" customFormat="false" ht="15.75" hidden="false" customHeight="false" outlineLevel="0" collapsed="false">
      <c r="B39" s="69" t="s">
        <v>44</v>
      </c>
      <c r="C39" s="78" t="n">
        <f aca="false">(C38-'2021'!N35)/'2021'!N35</f>
        <v>-0.1612880457</v>
      </c>
      <c r="D39" s="78" t="n">
        <f aca="false">IF(D38&gt;0,(D38-C38)/C38,"")</f>
        <v>-0.322153465346535</v>
      </c>
      <c r="E39" s="78" t="n">
        <f aca="false">IF(E38&gt;0,(E38-D38)/D38,"")</f>
        <v>0.434727040350557</v>
      </c>
      <c r="F39" s="78" t="n">
        <f aca="false">IF(F38&gt;0,(F38-E38)/E38,"")</f>
        <v>-0.329345889539323</v>
      </c>
      <c r="G39" s="78" t="n">
        <f aca="false">IF(G38&gt;0,(G38-F38)/F38,"")</f>
        <v>0.25426944971537</v>
      </c>
      <c r="H39" s="78" t="n">
        <f aca="false">IF(H38&gt;0,(H38-G38)/G38,"")</f>
        <v>3.11981845688351</v>
      </c>
      <c r="I39" s="78" t="n">
        <f aca="false">IF(I38&gt;0,(I38-H38)/H38,"")</f>
        <v>-0.743683901292597</v>
      </c>
      <c r="J39" s="78" t="n">
        <f aca="false">IF(J38&gt;0,(J38-I38)/I38,"")</f>
        <v>0.764613180515759</v>
      </c>
      <c r="K39" s="78" t="n">
        <f aca="false">IF(K38&gt;0,(K38-J38)/J38,"")</f>
        <v>-0.0386457741333117</v>
      </c>
      <c r="L39" s="78" t="n">
        <f aca="false">IF(L38&gt;0,(L38-K38)/K38,"")</f>
        <v>0.719280466176843</v>
      </c>
      <c r="M39" s="78" t="n">
        <f aca="false">IF(M38&gt;0,(M38-L38)/L38,"")</f>
        <v>-0.412466843501326</v>
      </c>
      <c r="N39" s="78" t="n">
        <f aca="false">IF(N38&gt;0,(N38-M38)/M38,"")</f>
        <v>0.0311010785051417</v>
      </c>
      <c r="O39" s="73" t="s">
        <v>42</v>
      </c>
      <c r="P39" s="78" t="n">
        <f aca="false">AVERAGE(C39:N39)</f>
        <v>0.276352146052841</v>
      </c>
      <c r="Q39" s="78" t="n">
        <f aca="false">MEDIAN(C39:N39)</f>
        <v>-0.00377234781408499</v>
      </c>
    </row>
    <row r="40" customFormat="false" ht="15.75" hidden="false" customHeight="false" outlineLevel="0" collapsed="false">
      <c r="B40" s="69" t="s">
        <v>45</v>
      </c>
      <c r="C40" s="78" t="n">
        <f aca="false">IF(C38&gt;0,(C38-'2021'!C35)/'2021'!C35,"")</f>
        <v>0.4055693948</v>
      </c>
      <c r="D40" s="78" t="n">
        <f aca="false">IF(D38&gt;0,(D38-'2021'!D35)/'2021'!D35,"")</f>
        <v>-0.1883088013</v>
      </c>
      <c r="E40" s="78" t="n">
        <f aca="false">IF(E38&gt;0,(E38-'2021'!E35)/'2021'!E35,"")</f>
        <v>-0.0125845831</v>
      </c>
      <c r="F40" s="78" t="n">
        <f aca="false">IF(F38&gt;0,(F38-'2021'!F35)/'2021'!F35,"")</f>
        <v>0.5539351122</v>
      </c>
      <c r="G40" s="78" t="n">
        <f aca="false">IF(G38&gt;0,(G38-'2021'!G35)/'2021'!G35,"")</f>
        <v>-0.7666895506</v>
      </c>
      <c r="H40" s="78" t="n">
        <f aca="false">IF(H38&gt;0,(H38-'2021'!H35)/'2021'!H35,"")</f>
        <v>2.386041284</v>
      </c>
      <c r="I40" s="78" t="n">
        <f aca="false">IF(I38&gt;0,(I38-'2021'!I35)/'2021'!I35,"")</f>
        <v>-0.6915328871</v>
      </c>
      <c r="J40" s="78" t="n">
        <f aca="false">IF(J38&gt;0,(J38-'2021'!J35)/'2021'!J35,"")</f>
        <v>0.8745025347</v>
      </c>
      <c r="K40" s="78" t="n">
        <f aca="false">IF(K38&gt;0,(K38-'2021'!K35)/'2021'!K35,"")</f>
        <v>0.4625867566</v>
      </c>
      <c r="L40" s="78" t="n">
        <f aca="false">IF(L38&gt;0,(L38-'2021'!L35)/'2021'!L35,"")</f>
        <v>1.604080724</v>
      </c>
      <c r="M40" s="78" t="n">
        <f aca="false">IF(M38&gt;0,(M38-'2021'!M35)/'2021'!M35,"")</f>
        <v>0.5047535417</v>
      </c>
      <c r="N40" s="78" t="n">
        <f aca="false">IF(N38&gt;0,(N38-'2021'!N35)/'2021'!N35,"")</f>
        <v>0.2801775412</v>
      </c>
      <c r="O40" s="78" t="n">
        <f aca="false">IF(O38&gt;0,(O38-'2021'!O35)/'2021'!O35,"")</f>
        <v>0.109037947</v>
      </c>
      <c r="P40" s="78" t="n">
        <f aca="false">AVERAGE(C40:N40)</f>
        <v>0.451044255591667</v>
      </c>
      <c r="Q40" s="78" t="n">
        <f aca="false">MEDIAN(C40:N40)</f>
        <v>0.4340780757</v>
      </c>
    </row>
    <row r="41" customFormat="false" ht="15.75" hidden="false" customHeight="false" outlineLevel="0" collapsed="false">
      <c r="B41" s="2" t="s">
        <v>3</v>
      </c>
      <c r="C41" s="2" t="n">
        <v>26561</v>
      </c>
      <c r="D41" s="2" t="n">
        <v>27268</v>
      </c>
      <c r="E41" s="2" t="n">
        <v>47231</v>
      </c>
      <c r="F41" s="2" t="n">
        <v>19329</v>
      </c>
      <c r="G41" s="2" t="n">
        <v>18419</v>
      </c>
      <c r="H41" s="2" t="n">
        <v>16844</v>
      </c>
      <c r="I41" s="2" t="n">
        <v>16107</v>
      </c>
      <c r="J41" s="2" t="n">
        <v>21220</v>
      </c>
      <c r="K41" s="2" t="n">
        <v>15804.68</v>
      </c>
      <c r="L41" s="2" t="n">
        <v>16665.19</v>
      </c>
      <c r="M41" s="2" t="n">
        <v>19246</v>
      </c>
      <c r="N41" s="2" t="n">
        <v>18527</v>
      </c>
      <c r="O41" s="0" t="n">
        <f aca="false">SUM(C41:N41)</f>
        <v>263221.87</v>
      </c>
      <c r="P41" s="0" t="n">
        <f aca="false">AVERAGE(C41:N41)</f>
        <v>21935.1558333333</v>
      </c>
      <c r="Q41" s="0" t="n">
        <f aca="false">MEDIAN(C41:N41)</f>
        <v>18886.5</v>
      </c>
    </row>
    <row r="42" customFormat="false" ht="15.75" hidden="false" customHeight="false" outlineLevel="0" collapsed="false">
      <c r="B42" s="69" t="s">
        <v>44</v>
      </c>
      <c r="C42" s="78" t="n">
        <f aca="false">(C41-'2021'!N37)/'2021'!N37</f>
        <v>0.6746560811</v>
      </c>
      <c r="D42" s="78" t="n">
        <f aca="false">IF(D41&gt;0,(D41-C41)/C41,"")</f>
        <v>0.0266179737208689</v>
      </c>
      <c r="E42" s="78" t="n">
        <f aca="false">IF(E41&gt;0,(E41-D41)/D41,"")</f>
        <v>0.732103564617867</v>
      </c>
      <c r="F42" s="78" t="n">
        <f aca="false">IF(F41&gt;0,(F41-E41)/E41,"")</f>
        <v>-0.590756071224408</v>
      </c>
      <c r="G42" s="78" t="n">
        <f aca="false">IF(G41&gt;0,(G41-F41)/F41,"")</f>
        <v>-0.0470795178229603</v>
      </c>
      <c r="H42" s="78" t="n">
        <f aca="false">IF(H41&gt;0,(H41-G41)/G41,"")</f>
        <v>-0.0855095282045714</v>
      </c>
      <c r="I42" s="78" t="n">
        <f aca="false">IF(I41&gt;0,(I41-H41)/H41,"")</f>
        <v>-0.0437544526240798</v>
      </c>
      <c r="J42" s="78" t="n">
        <f aca="false">IF(J41&gt;0,(J41-I41)/I41,"")</f>
        <v>0.317439622524368</v>
      </c>
      <c r="K42" s="78" t="n">
        <f aca="false">IF(K41&gt;0,(K41-J41)/J41,"")</f>
        <v>-0.255198868991517</v>
      </c>
      <c r="L42" s="78" t="n">
        <f aca="false">IF(L41&gt;0,(L41-K41)/K41,"")</f>
        <v>0.0544465310275183</v>
      </c>
      <c r="M42" s="78" t="n">
        <f aca="false">IF(M41&gt;0,(M41-L41)/L41,"")</f>
        <v>0.154862320801623</v>
      </c>
      <c r="N42" s="78" t="n">
        <f aca="false">IF(N41&gt;0,(N41-M41)/M41,"")</f>
        <v>-0.037358412137587</v>
      </c>
      <c r="O42" s="73" t="s">
        <v>42</v>
      </c>
      <c r="P42" s="73" t="s">
        <v>42</v>
      </c>
      <c r="Q42" s="73" t="s">
        <v>42</v>
      </c>
    </row>
    <row r="43" customFormat="false" ht="15.75" hidden="false" customHeight="false" outlineLevel="0" collapsed="false">
      <c r="B43" s="69" t="s">
        <v>45</v>
      </c>
      <c r="C43" s="73" t="n">
        <f aca="false">IF(C41&gt;0,(C41-'2021'!C37)/'2021'!C37,"")</f>
        <v>0.5373618105</v>
      </c>
      <c r="D43" s="73" t="n">
        <f aca="false">IF(D41&gt;0,(D41-'2021'!D37)/'2021'!D37,"")</f>
        <v>0.8289623717</v>
      </c>
      <c r="E43" s="73" t="n">
        <f aca="false">IF(E41&gt;0,(E41-'2021'!E37)/'2021'!E37,"")</f>
        <v>0.3037153583</v>
      </c>
      <c r="F43" s="73" t="n">
        <f aca="false">IF(F41&gt;0,(F41-'2021'!F37)/'2021'!F37,"")</f>
        <v>0.2648213585</v>
      </c>
      <c r="G43" s="73" t="n">
        <f aca="false">IF(G41&gt;0,(G41-'2021'!G37)/'2021'!G37,"")</f>
        <v>-0.006204812777</v>
      </c>
      <c r="H43" s="73" t="n">
        <f aca="false">IF(H41&gt;0,(H41-'2021'!H37)/'2021'!H37,"")</f>
        <v>-0.01404823226</v>
      </c>
      <c r="I43" s="73" t="n">
        <f aca="false">IF(I41&gt;0,(I41-'2021'!I37)/'2021'!I37,"")</f>
        <v>0.03058417045</v>
      </c>
      <c r="J43" s="73" t="n">
        <f aca="false">IF(J41&gt;0,(J41-'2021'!J37)/'2021'!J37,"")</f>
        <v>0.2694690305</v>
      </c>
      <c r="K43" s="73" t="n">
        <f aca="false">IF(K41&gt;0,(K41-'2021'!K37)/'2021'!K37,"")</f>
        <v>0.1317350519</v>
      </c>
      <c r="L43" s="73" t="n">
        <f aca="false">IF(L41&gt;0,(L41-'2021'!L37)/'2021'!L37,"")</f>
        <v>0.01419182947</v>
      </c>
      <c r="M43" s="73" t="n">
        <f aca="false">IF(M41&gt;0,(M41-'2021'!M37)/'2021'!M37,"")</f>
        <v>0.1450213643</v>
      </c>
      <c r="N43" s="73" t="n">
        <f aca="false">IF(N41&gt;0,(N41-'2021'!N37)/'2021'!N37,"")</f>
        <v>0.1681169088</v>
      </c>
      <c r="O43" s="73" t="n">
        <f aca="false">IF(O41&gt;0,(O41-'2021'!O37)/'2021'!O37,"")</f>
        <v>0.2258578348</v>
      </c>
      <c r="P43" s="73" t="n">
        <f aca="false">IF(P41&gt;0,(P41-'2021'!P37)/'2021'!P37,"")</f>
        <v>0.2258578348</v>
      </c>
      <c r="Q43" s="73" t="n">
        <f aca="false">IF(Q41&gt;0,(Q41-'2021'!Q37)/'2021'!Q37,"")</f>
        <v>0.1395381391</v>
      </c>
    </row>
    <row r="44" customFormat="false" ht="15.75" hidden="false" customHeight="false" outlineLevel="0" collapsed="false">
      <c r="B44" s="2" t="s">
        <v>47</v>
      </c>
      <c r="C44" s="79" t="n">
        <f aca="false">IF(C38&gt;0,MAX(0,(C41-C38)/C41),"")</f>
        <v>0.695794586047212</v>
      </c>
      <c r="D44" s="79" t="n">
        <f aca="false">IF(D38&gt;0,MAX(0,(D41-D38)/D41),"")</f>
        <v>0.799141851254217</v>
      </c>
      <c r="E44" s="79" t="n">
        <f aca="false">IF(E38&gt;0,MAX(0,(E41-E38)/E41),"")</f>
        <v>0.833626220067329</v>
      </c>
      <c r="F44" s="79" t="n">
        <f aca="false">IF(F38&gt;0,MAX(0,(F41-F38)/F41),"")</f>
        <v>0.727352682497801</v>
      </c>
      <c r="G44" s="79" t="n">
        <f aca="false">IF(G38&gt;0,MAX(0,(G41-G38)/G41),"")</f>
        <v>0.641131440360497</v>
      </c>
      <c r="H44" s="79" t="n">
        <f aca="false">IF(H38&gt;0,MAX(0,(H41-H38)/H41),"")</f>
        <v>0</v>
      </c>
      <c r="I44" s="79" t="n">
        <f aca="false">IF(I38&gt;0,MAX(0,(I41-I38)/I41),"")</f>
        <v>0.566648041224312</v>
      </c>
      <c r="J44" s="79" t="n">
        <f aca="false">IF(J38&gt;0,MAX(0,(J41-J38)/J41),"")</f>
        <v>0.419557021677663</v>
      </c>
      <c r="K44" s="79" t="n">
        <f aca="false">IF(K38&gt;0,MAX(0,(K41-K38)/K41),"")</f>
        <v>0.250791537696429</v>
      </c>
      <c r="L44" s="79" t="n">
        <f aca="false">IF(L38&gt;0,MAX(0,(L41-L38)/L41),"")</f>
        <v>0</v>
      </c>
      <c r="M44" s="79" t="n">
        <f aca="false">IF(M38&gt;0,MAX(0,(M41-M38)/M41),"")</f>
        <v>0.378520211992102</v>
      </c>
      <c r="N44" s="79" t="n">
        <f aca="false">IF(N38&gt;0,MAX(0,(N41-N38)/N41),"")</f>
        <v>0.334322880120905</v>
      </c>
      <c r="O44" s="79" t="n">
        <f aca="false">IF(O38&gt;0,MAX(0,(O41-O38)/O41),"")</f>
        <v>0.482121299419383</v>
      </c>
      <c r="P44" s="79" t="n">
        <f aca="false">AVERAGE(C44:N44)</f>
        <v>0.4705738727</v>
      </c>
      <c r="Q44" s="79" t="n">
        <f aca="false">MEDIAN(C44:N44)</f>
        <v>0.4931025315</v>
      </c>
    </row>
    <row r="45" customFormat="false" ht="15.75" hidden="false" customHeight="false" outlineLevel="0" collapsed="false">
      <c r="B45" s="69" t="s">
        <v>44</v>
      </c>
      <c r="C45" s="78" t="n">
        <f aca="false">(C44-'2021'!N39)/'2021'!N39</f>
        <v>0.7723047718</v>
      </c>
      <c r="D45" s="78" t="n">
        <f aca="false">IF(ISBLANK(D38),"",IF(C44=0,100,(D44-C44)/C44))</f>
        <v>0.148531286789853</v>
      </c>
      <c r="E45" s="78" t="n">
        <f aca="false">IF(ISBLANK(E38),"",IF(D44=0,100,(E44-D44)/D44))</f>
        <v>0.0431517492908043</v>
      </c>
      <c r="F45" s="78" t="n">
        <f aca="false">IF(ISBLANK(F38),"",IF(E44=0,100,(F44-E44)/E44))</f>
        <v>-0.127483439233646</v>
      </c>
      <c r="G45" s="78" t="n">
        <f aca="false">IF(ISBLANK(G38),"",IF(F44=0,100,(G44-F44)/F44))</f>
        <v>-0.118541175707515</v>
      </c>
      <c r="H45" s="78" t="n">
        <f aca="false">IF(ISBLANK(H38),"",IF(G44=0,100,(H44-G44)/G44))</f>
        <v>-1</v>
      </c>
      <c r="I45" s="78" t="n">
        <f aca="false">IF(ISBLANK(I38),"",IF(H44=0,100,(I44-H44)/H44))</f>
        <v>100</v>
      </c>
      <c r="J45" s="78" t="n">
        <f aca="false">IF(ISBLANK(J38),"",IF(I44=0,100,(J44-I44)/I44))</f>
        <v>-0.259580919451944</v>
      </c>
      <c r="K45" s="78" t="n">
        <f aca="false">IF(ISBLANK(K38),"",IF(J44=0,100,(K44-J44)/J44))</f>
        <v>-0.40224683478398</v>
      </c>
      <c r="L45" s="78" t="n">
        <f aca="false">IF(ISBLANK(L38),"",IF(K44=0,100,(L44-K44)/K44))</f>
        <v>-1</v>
      </c>
      <c r="M45" s="80" t="n">
        <f aca="false">IF(ISBLANK(M38),"",IF(L44=0,100,(M44-L44)/L44))</f>
        <v>100</v>
      </c>
      <c r="N45" s="78" t="n">
        <f aca="false">IF(ISBLANK(N38),"",IF(M44=0,100,(N44-M44)/M44))</f>
        <v>-0.116763465915315</v>
      </c>
      <c r="O45" s="73" t="s">
        <v>42</v>
      </c>
      <c r="P45" s="73" t="s">
        <v>42</v>
      </c>
      <c r="Q45" s="73" t="s">
        <v>42</v>
      </c>
    </row>
    <row r="46" customFormat="false" ht="15.75" hidden="false" customHeight="false" outlineLevel="0" collapsed="false">
      <c r="B46" s="69" t="s">
        <v>45</v>
      </c>
      <c r="C46" s="78" t="n">
        <f aca="false">IF(ISBLANK(C38),"",IF('2021'!C39=0,100,(C44-'2021'!C39)/'2021'!C39))</f>
        <v>0.04274672576</v>
      </c>
      <c r="D46" s="78" t="n">
        <f aca="false">IF(ISBLANK(D38),"",IF('2021'!D39=0,100,(D44-'2021'!D39)/'2021'!D39))</f>
        <v>0.4598554482</v>
      </c>
      <c r="E46" s="78" t="n">
        <f aca="false">IF(ISBLANK(E38),"",IF('2021'!E39=0,100,(E44-'2021'!E39)/'2021'!E39))</f>
        <v>0.06829752194</v>
      </c>
      <c r="F46" s="78" t="n">
        <f aca="false">IF(ISBLANK(F38),"",IF('2021'!F39=0,100,(F44-'2021'!F39)/'2021'!F39))</f>
        <v>-0.06519483072</v>
      </c>
      <c r="G46" s="78" t="n">
        <f aca="false">IF(ISBLANK(G38),"",IF('2021'!G39=0,100,(G44-'2021'!G39)/'2021'!G39))</f>
        <v>100</v>
      </c>
      <c r="H46" s="78" t="n">
        <f aca="false">IF(ISBLANK(H38),"",IF('2021'!H39=0,100,(H44-'2021'!H39)/'2021'!H39))</f>
        <v>-1</v>
      </c>
      <c r="I46" s="78" t="n">
        <f aca="false">IF(ISBLANK(I38),"",IF('2021'!I39=0,100,(I44-'2021'!I39)/'2021'!I39))</f>
        <v>100</v>
      </c>
      <c r="J46" s="78" t="n">
        <f aca="false">IF(ISBLANK(J38),"",IF('2021'!J39=0,100,(J44-'2021'!J39)/'2021'!J39))</f>
        <v>-0.308696014</v>
      </c>
      <c r="K46" s="78" t="n">
        <f aca="false">IF(ISBLANK(K38),"",IF('2021'!K39=0,100,(K44-'2021'!K39)/'2021'!K39))</f>
        <v>-0.4032608533</v>
      </c>
      <c r="L46" s="78" t="n">
        <f aca="false">IF(ISBLANK(L38),"",IF('2021'!L39=0,100,(L44-'2021'!L39)/'2021'!L39))</f>
        <v>-1</v>
      </c>
      <c r="M46" s="78" t="n">
        <f aca="false">IF(ISBLANK(M38),"",IF('2021'!M39=0,100,(M44-'2021'!M39)/'2021'!M39))</f>
        <v>-0.2818728249</v>
      </c>
      <c r="N46" s="78" t="n">
        <f aca="false">IF(ISBLANK(N38),"",IF('2021'!N39=0,100,(N44-'2021'!N39)/'2021'!N39))</f>
        <v>-0.1484239061</v>
      </c>
      <c r="O46" s="78" t="n">
        <f aca="false">IF(ISBLANK(O38),"",IF('2021'!O39=0,100,(O44-'2021'!O39)/'2021'!O39))</f>
        <v>0.1275822776</v>
      </c>
      <c r="P46" s="78" t="n">
        <f aca="false">IF(ISBLANK(P38),"",IF('2021'!P39=0,100,(P44-'2021'!P39)/'2021'!P39))</f>
        <v>-0.02191927068</v>
      </c>
      <c r="Q46" s="78" t="n">
        <f aca="false">IF(ISBLANK(Q38),"",IF('2021'!Q39=0,100,(Q44-'2021'!Q39)/'2021'!Q39))</f>
        <v>-0.06639034545</v>
      </c>
    </row>
    <row r="47" customFormat="false" ht="22.05" hidden="false" customHeight="false" outlineLevel="0" collapsed="false">
      <c r="B47" s="105" t="s">
        <v>119</v>
      </c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</row>
    <row r="48" customFormat="false" ht="15.75" hidden="false" customHeight="false" outlineLevel="0" collapsed="false">
      <c r="A48" s="1"/>
      <c r="B48" s="1"/>
      <c r="C48" s="65" t="s">
        <v>27</v>
      </c>
      <c r="D48" s="65" t="s">
        <v>28</v>
      </c>
      <c r="E48" s="65" t="s">
        <v>29</v>
      </c>
      <c r="F48" s="65" t="s">
        <v>30</v>
      </c>
      <c r="G48" s="65" t="s">
        <v>31</v>
      </c>
      <c r="H48" s="65" t="s">
        <v>32</v>
      </c>
      <c r="I48" s="65" t="s">
        <v>33</v>
      </c>
      <c r="J48" s="65" t="s">
        <v>34</v>
      </c>
      <c r="K48" s="65" t="s">
        <v>35</v>
      </c>
      <c r="L48" s="65" t="s">
        <v>36</v>
      </c>
      <c r="M48" s="65" t="s">
        <v>37</v>
      </c>
      <c r="N48" s="65" t="s">
        <v>38</v>
      </c>
      <c r="O48" s="65" t="s">
        <v>39</v>
      </c>
      <c r="P48" s="66" t="s">
        <v>40</v>
      </c>
      <c r="Q48" s="66" t="s">
        <v>41</v>
      </c>
    </row>
    <row r="49" customFormat="false" ht="15.75" hidden="false" customHeight="false" outlineLevel="0" collapsed="false">
      <c r="B49" s="1" t="s">
        <v>120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 t="n">
        <v>3</v>
      </c>
      <c r="N49" s="1" t="n">
        <v>4</v>
      </c>
      <c r="O49" s="1" t="n">
        <f aca="false">SUM(C49:N49)</f>
        <v>7</v>
      </c>
      <c r="P49" s="1" t="n">
        <f aca="false">AVERAGE(C49:N49)</f>
        <v>3.5</v>
      </c>
      <c r="Q49" s="1" t="n">
        <f aca="false">MEDIAN(C49:N49)</f>
        <v>3.5</v>
      </c>
    </row>
    <row r="50" customFormat="false" ht="15.75" hidden="false" customHeight="false" outlineLevel="0" collapsed="false">
      <c r="B50" s="1" t="s">
        <v>121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 t="n">
        <v>0</v>
      </c>
      <c r="N50" s="1" t="n">
        <v>0</v>
      </c>
      <c r="O50" s="1" t="n">
        <f aca="false">SUM(C50:N50)</f>
        <v>0</v>
      </c>
      <c r="P50" s="1" t="n">
        <f aca="false">AVERAGE(C50:N50)</f>
        <v>0</v>
      </c>
      <c r="Q50" s="1" t="n">
        <f aca="false">MEDIAN(C50:N50)</f>
        <v>0</v>
      </c>
    </row>
    <row r="51" customFormat="false" ht="15.75" hidden="false" customHeight="false" outlineLevel="0" collapsed="false">
      <c r="B51" s="69" t="s">
        <v>122</v>
      </c>
      <c r="C51" s="106" t="str">
        <f aca="false">IF(SUM(C49:C50)=0,"",SUM(C49:C50))</f>
        <v/>
      </c>
      <c r="D51" s="106" t="str">
        <f aca="false">IF(SUM(D49:D50)=0,"",SUM(D49:D50))</f>
        <v/>
      </c>
      <c r="E51" s="106" t="str">
        <f aca="false">IF(SUM(E49:E50)=0,"",SUM(E49:E50))</f>
        <v/>
      </c>
      <c r="F51" s="106" t="str">
        <f aca="false">IF(SUM(F49:F50)=0,"",SUM(F49:F50))</f>
        <v/>
      </c>
      <c r="G51" s="106" t="str">
        <f aca="false">IF(SUM(G49:G50)=0,"",SUM(G49:G50))</f>
        <v/>
      </c>
      <c r="H51" s="106" t="str">
        <f aca="false">IF(SUM(H49:H50)=0,"",SUM(H49:H50))</f>
        <v/>
      </c>
      <c r="I51" s="106" t="str">
        <f aca="false">IF(SUM(I49:I50)=0,"",SUM(I49:I50))</f>
        <v/>
      </c>
      <c r="J51" s="106" t="str">
        <f aca="false">IF(SUM(J49:J50)=0,"",SUM(J49:J50))</f>
        <v/>
      </c>
      <c r="K51" s="106" t="str">
        <f aca="false">IF(SUM(K49:K50)=0,"",SUM(K49:K50))</f>
        <v/>
      </c>
      <c r="L51" s="106" t="str">
        <f aca="false">IF(SUM(L49:L50)=0,"",SUM(L49:L50))</f>
        <v/>
      </c>
      <c r="M51" s="106" t="n">
        <f aca="false">SUM(M49:M50)</f>
        <v>3</v>
      </c>
      <c r="N51" s="106" t="n">
        <f aca="false">SUM(N49:N50)</f>
        <v>4</v>
      </c>
      <c r="O51" s="106" t="n">
        <f aca="false">SUM(C51:N51)</f>
        <v>7</v>
      </c>
      <c r="P51" s="106" t="n">
        <f aca="false">AVERAGE(C51:N51)</f>
        <v>3.5</v>
      </c>
      <c r="Q51" s="106" t="n">
        <f aca="false">MEDIAN(C51:N51)</f>
        <v>3.5</v>
      </c>
    </row>
    <row r="52" customFormat="false" ht="15.75" hidden="false" customHeight="false" outlineLevel="0" collapsed="false">
      <c r="B52" s="69" t="s">
        <v>44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73" t="s">
        <v>42</v>
      </c>
      <c r="N52" s="78" t="n">
        <f aca="false">(N51-M51)/M51</f>
        <v>0.3333333333</v>
      </c>
      <c r="O52" s="73" t="s">
        <v>42</v>
      </c>
      <c r="P52" s="73" t="s">
        <v>42</v>
      </c>
      <c r="Q52" s="73" t="s">
        <v>42</v>
      </c>
    </row>
    <row r="53" customFormat="false" ht="15.75" hidden="false" customHeight="false" outlineLevel="0" collapsed="false">
      <c r="B53" s="69" t="s">
        <v>45</v>
      </c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73" t="s">
        <v>42</v>
      </c>
      <c r="N53" s="73" t="s">
        <v>42</v>
      </c>
      <c r="O53" s="73" t="s">
        <v>42</v>
      </c>
      <c r="P53" s="73" t="s">
        <v>42</v>
      </c>
      <c r="Q53" s="73" t="s">
        <v>42</v>
      </c>
    </row>
    <row r="54" customFormat="false" ht="22.05" hidden="false" customHeight="false" outlineLevel="0" collapsed="false">
      <c r="B54" s="81" t="s">
        <v>48</v>
      </c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</row>
    <row r="55" customFormat="false" ht="15.75" hidden="false" customHeight="false" outlineLevel="0" collapsed="false">
      <c r="B55" s="1"/>
      <c r="C55" s="65" t="s">
        <v>27</v>
      </c>
      <c r="D55" s="65" t="s">
        <v>28</v>
      </c>
      <c r="E55" s="65" t="s">
        <v>29</v>
      </c>
      <c r="F55" s="65" t="s">
        <v>30</v>
      </c>
      <c r="G55" s="65" t="s">
        <v>31</v>
      </c>
      <c r="H55" s="65" t="s">
        <v>32</v>
      </c>
      <c r="I55" s="65" t="s">
        <v>33</v>
      </c>
      <c r="J55" s="65" t="s">
        <v>34</v>
      </c>
      <c r="K55" s="65" t="s">
        <v>35</v>
      </c>
      <c r="L55" s="65" t="s">
        <v>36</v>
      </c>
      <c r="M55" s="65" t="s">
        <v>37</v>
      </c>
      <c r="N55" s="65" t="s">
        <v>38</v>
      </c>
      <c r="O55" s="65" t="s">
        <v>39</v>
      </c>
      <c r="P55" s="66" t="s">
        <v>40</v>
      </c>
      <c r="Q55" s="66" t="s">
        <v>41</v>
      </c>
    </row>
    <row r="56" customFormat="false" ht="15.75" hidden="false" customHeight="false" outlineLevel="0" collapsed="false">
      <c r="B56" s="2" t="s">
        <v>89</v>
      </c>
      <c r="M56" s="2" t="n">
        <v>130342</v>
      </c>
      <c r="N56" s="2" t="n">
        <v>130638</v>
      </c>
      <c r="O56" s="83" t="s">
        <v>42</v>
      </c>
      <c r="P56" s="83" t="s">
        <v>42</v>
      </c>
      <c r="Q56" s="83" t="s">
        <v>42</v>
      </c>
    </row>
    <row r="57" customFormat="false" ht="15.75" hidden="false" customHeight="false" outlineLevel="0" collapsed="false">
      <c r="B57" s="2" t="s">
        <v>123</v>
      </c>
      <c r="M57" s="2" t="n">
        <v>78608</v>
      </c>
      <c r="N57" s="2" t="n">
        <v>78792</v>
      </c>
      <c r="O57" s="83" t="s">
        <v>42</v>
      </c>
      <c r="P57" s="83" t="s">
        <v>42</v>
      </c>
      <c r="Q57" s="83" t="s">
        <v>42</v>
      </c>
    </row>
    <row r="58" customFormat="false" ht="15.75" hidden="false" customHeight="false" outlineLevel="0" collapsed="false">
      <c r="B58" s="69" t="s">
        <v>90</v>
      </c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 t="n">
        <f aca="false">SUM(M56:M57)</f>
        <v>208950</v>
      </c>
      <c r="N58" s="80" t="n">
        <f aca="false">SUM(N56:N57)</f>
        <v>209430</v>
      </c>
      <c r="O58" s="84" t="s">
        <v>42</v>
      </c>
      <c r="P58" s="84" t="s">
        <v>42</v>
      </c>
      <c r="Q58" s="84" t="s">
        <v>42</v>
      </c>
    </row>
    <row r="59" customFormat="false" ht="15.75" hidden="false" customHeight="false" outlineLevel="0" collapsed="false">
      <c r="B59" s="69" t="s">
        <v>50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 t="n">
        <f aca="false">N58-M58</f>
        <v>480</v>
      </c>
      <c r="O59" s="80" t="n">
        <f aca="false">SUM(C59:N59)</f>
        <v>480</v>
      </c>
      <c r="P59" s="80" t="n">
        <f aca="false">AVERAGE(C59:N59)</f>
        <v>480</v>
      </c>
      <c r="Q59" s="80" t="n">
        <f aca="false">MEDIAN(C59:N59)</f>
        <v>480</v>
      </c>
    </row>
    <row r="60" customFormat="false" ht="15.75" hidden="false" customHeight="false" outlineLevel="0" collapsed="false">
      <c r="B60" s="69" t="s">
        <v>44</v>
      </c>
      <c r="C60" s="80"/>
      <c r="D60" s="80"/>
      <c r="E60" s="80"/>
      <c r="F60" s="80"/>
      <c r="G60" s="75"/>
      <c r="H60" s="75"/>
      <c r="I60" s="75"/>
      <c r="J60" s="75"/>
      <c r="K60" s="75"/>
      <c r="L60" s="75"/>
      <c r="M60" s="80"/>
      <c r="N60" s="80"/>
      <c r="O60" s="80"/>
      <c r="P60" s="80"/>
      <c r="Q60" s="80"/>
    </row>
    <row r="61" customFormat="false" ht="15.75" hidden="false" customHeight="false" outlineLevel="0" collapsed="false">
      <c r="B61" s="69" t="s">
        <v>45</v>
      </c>
      <c r="C61" s="80"/>
      <c r="D61" s="80"/>
      <c r="E61" s="80"/>
      <c r="F61" s="80"/>
      <c r="G61" s="75"/>
      <c r="H61" s="75"/>
      <c r="I61" s="75"/>
      <c r="J61" s="75"/>
      <c r="K61" s="75"/>
      <c r="L61" s="75"/>
      <c r="M61" s="80"/>
      <c r="N61" s="80"/>
      <c r="O61" s="80"/>
      <c r="P61" s="80"/>
      <c r="Q61" s="80"/>
    </row>
    <row r="62" customFormat="false" ht="15.75" hidden="false" customHeight="false" outlineLevel="0" collapsed="false">
      <c r="B62" s="2" t="s">
        <v>74</v>
      </c>
      <c r="G62" s="2" t="n">
        <v>75170</v>
      </c>
      <c r="H62" s="2" t="n">
        <v>75170</v>
      </c>
      <c r="I62" s="2" t="n">
        <v>75170</v>
      </c>
      <c r="J62" s="2" t="n">
        <v>75170</v>
      </c>
      <c r="K62" s="2" t="n">
        <v>75170</v>
      </c>
      <c r="L62" s="2" t="n">
        <v>75170</v>
      </c>
      <c r="M62" s="2" t="n">
        <v>75170</v>
      </c>
      <c r="N62" s="2" t="n">
        <v>76643</v>
      </c>
    </row>
    <row r="63" customFormat="false" ht="15.75" hidden="false" customHeight="false" outlineLevel="0" collapsed="false">
      <c r="B63" s="69" t="s">
        <v>75</v>
      </c>
      <c r="C63" s="80"/>
      <c r="D63" s="80"/>
      <c r="E63" s="80"/>
      <c r="F63" s="80"/>
      <c r="G63" s="80"/>
      <c r="H63" s="80" t="n">
        <f aca="false">IF(H62&gt;0,H62-G62,"")</f>
        <v>0</v>
      </c>
      <c r="I63" s="80" t="n">
        <f aca="false">IF(I62&gt;0,I62-H62,"")</f>
        <v>0</v>
      </c>
      <c r="J63" s="80" t="n">
        <f aca="false">IF(J62&gt;0,J62-I62,"")</f>
        <v>0</v>
      </c>
      <c r="K63" s="80" t="n">
        <f aca="false">IF(K62&gt;0,K62-J62,"")</f>
        <v>0</v>
      </c>
      <c r="L63" s="80" t="n">
        <f aca="false">IF(L62&gt;0,L62-K62,"")</f>
        <v>0</v>
      </c>
      <c r="M63" s="80" t="n">
        <f aca="false">IF(M62&gt;0,M62-L62,"")</f>
        <v>0</v>
      </c>
      <c r="N63" s="80" t="n">
        <f aca="false">IF(N62&gt;0,N62-M62,"")</f>
        <v>1473</v>
      </c>
      <c r="O63" s="80" t="n">
        <f aca="false">SUM(C63:N63)</f>
        <v>1473</v>
      </c>
      <c r="P63" s="80" t="n">
        <f aca="false">AVERAGE(H63:N63)</f>
        <v>210.4285714</v>
      </c>
      <c r="Q63" s="80" t="n">
        <f aca="false">MEDIAN(C63:N63)</f>
        <v>0</v>
      </c>
    </row>
    <row r="64" customFormat="false" ht="15.75" hidden="false" customHeight="false" outlineLevel="0" collapsed="false">
      <c r="B64" s="69" t="s">
        <v>44</v>
      </c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</row>
    <row r="65" customFormat="false" ht="15.75" hidden="false" customHeight="false" outlineLevel="0" collapsed="false">
      <c r="B65" s="69" t="s">
        <v>45</v>
      </c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</row>
    <row r="66" customFormat="false" ht="15.75" hidden="false" customHeight="false" outlineLevel="0" collapsed="false">
      <c r="B66" s="2" t="s">
        <v>91</v>
      </c>
      <c r="N66" s="2" t="n">
        <v>182</v>
      </c>
    </row>
    <row r="67" customFormat="false" ht="15.75" hidden="false" customHeight="false" outlineLevel="0" collapsed="false">
      <c r="B67" s="69" t="s">
        <v>52</v>
      </c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</row>
    <row r="68" customFormat="false" ht="15.75" hidden="false" customHeight="false" outlineLevel="0" collapsed="false">
      <c r="B68" s="69" t="s">
        <v>44</v>
      </c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</row>
    <row r="69" customFormat="false" ht="15.75" hidden="false" customHeight="false" outlineLevel="0" collapsed="false">
      <c r="B69" s="69" t="s">
        <v>45</v>
      </c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</row>
    <row r="70" customFormat="false" ht="22.05" hidden="false" customHeight="false" outlineLevel="0" collapsed="false">
      <c r="B70" s="85" t="s">
        <v>54</v>
      </c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</row>
    <row r="71" customFormat="false" ht="15.75" hidden="false" customHeight="false" outlineLevel="0" collapsed="false">
      <c r="C71" s="65" t="s">
        <v>27</v>
      </c>
      <c r="D71" s="65" t="s">
        <v>28</v>
      </c>
      <c r="E71" s="65" t="s">
        <v>29</v>
      </c>
      <c r="F71" s="65" t="s">
        <v>30</v>
      </c>
      <c r="G71" s="65" t="s">
        <v>31</v>
      </c>
      <c r="H71" s="65" t="s">
        <v>32</v>
      </c>
      <c r="I71" s="65" t="s">
        <v>33</v>
      </c>
      <c r="J71" s="65" t="s">
        <v>34</v>
      </c>
      <c r="K71" s="65" t="s">
        <v>35</v>
      </c>
      <c r="L71" s="65" t="s">
        <v>36</v>
      </c>
      <c r="M71" s="65" t="s">
        <v>37</v>
      </c>
      <c r="N71" s="65" t="s">
        <v>38</v>
      </c>
      <c r="O71" s="65" t="s">
        <v>39</v>
      </c>
      <c r="P71" s="66" t="s">
        <v>40</v>
      </c>
      <c r="Q71" s="66" t="s">
        <v>41</v>
      </c>
    </row>
    <row r="72" customFormat="false" ht="15.75" hidden="false" customHeight="false" outlineLevel="0" collapsed="false">
      <c r="B72" s="2" t="s">
        <v>55</v>
      </c>
      <c r="C72" s="2" t="n">
        <v>8</v>
      </c>
      <c r="D72" s="2" t="n">
        <v>10</v>
      </c>
      <c r="E72" s="2" t="n">
        <v>7</v>
      </c>
      <c r="F72" s="2" t="n">
        <v>10</v>
      </c>
      <c r="G72" s="2" t="n">
        <v>7</v>
      </c>
      <c r="H72" s="2" t="n">
        <v>9</v>
      </c>
      <c r="I72" s="2" t="n">
        <v>11</v>
      </c>
      <c r="J72" s="2" t="n">
        <v>9</v>
      </c>
      <c r="K72" s="2" t="n">
        <v>12</v>
      </c>
      <c r="L72" s="2" t="n">
        <v>8</v>
      </c>
      <c r="M72" s="2" t="n">
        <v>8</v>
      </c>
      <c r="N72" s="2" t="n">
        <v>4</v>
      </c>
      <c r="O72" s="0" t="n">
        <f aca="false">SUM(C72:N72)</f>
        <v>103</v>
      </c>
      <c r="P72" s="5" t="n">
        <f aca="false">AVERAGE(C72:N72)</f>
        <v>8.583333333</v>
      </c>
      <c r="Q72" s="0" t="n">
        <f aca="false">MEDIAN(C72:N72)</f>
        <v>8.5</v>
      </c>
    </row>
    <row r="73" customFormat="false" ht="15.75" hidden="false" customHeight="false" outlineLevel="0" collapsed="false">
      <c r="B73" s="69" t="s">
        <v>44</v>
      </c>
      <c r="C73" s="73" t="s">
        <v>42</v>
      </c>
      <c r="D73" s="78" t="n">
        <f aca="false">(D72-C72)/C72</f>
        <v>0.25</v>
      </c>
      <c r="E73" s="78" t="n">
        <f aca="false">(E72-D72)/D72</f>
        <v>-0.3</v>
      </c>
      <c r="F73" s="78" t="n">
        <f aca="false">(F72-E72)/E72</f>
        <v>0.428571428571429</v>
      </c>
      <c r="G73" s="78" t="n">
        <f aca="false">(G72-F72)/F72</f>
        <v>-0.3</v>
      </c>
      <c r="H73" s="78" t="n">
        <f aca="false">(H72-G72)/G72</f>
        <v>0.285714285714286</v>
      </c>
      <c r="I73" s="78" t="n">
        <f aca="false">(I72-H72)/H72</f>
        <v>0.222222222222222</v>
      </c>
      <c r="J73" s="78" t="n">
        <f aca="false">(J72-I72)/I72</f>
        <v>-0.181818181818182</v>
      </c>
      <c r="K73" s="78" t="n">
        <f aca="false">(K72-J72)/J72</f>
        <v>0.333333333333333</v>
      </c>
      <c r="L73" s="78" t="n">
        <f aca="false">(L72-K72)/K72</f>
        <v>-0.333333333333333</v>
      </c>
      <c r="M73" s="78" t="n">
        <f aca="false">(M72-L72)/L72</f>
        <v>0</v>
      </c>
      <c r="N73" s="78" t="n">
        <f aca="false">(N72-M72)/M72</f>
        <v>-0.5</v>
      </c>
      <c r="O73" s="73" t="s">
        <v>42</v>
      </c>
      <c r="P73" s="73" t="s">
        <v>42</v>
      </c>
      <c r="Q73" s="73" t="s">
        <v>42</v>
      </c>
    </row>
    <row r="74" customFormat="false" ht="15.75" hidden="false" customHeight="false" outlineLevel="0" collapsed="false">
      <c r="B74" s="69" t="s">
        <v>45</v>
      </c>
      <c r="C74" s="73" t="s">
        <v>42</v>
      </c>
      <c r="D74" s="73" t="s">
        <v>42</v>
      </c>
      <c r="E74" s="73" t="s">
        <v>42</v>
      </c>
      <c r="F74" s="73" t="s">
        <v>42</v>
      </c>
      <c r="G74" s="73" t="s">
        <v>42</v>
      </c>
      <c r="H74" s="73" t="s">
        <v>42</v>
      </c>
      <c r="I74" s="73" t="s">
        <v>42</v>
      </c>
      <c r="J74" s="73" t="s">
        <v>42</v>
      </c>
      <c r="K74" s="73" t="s">
        <v>42</v>
      </c>
      <c r="L74" s="73" t="s">
        <v>42</v>
      </c>
      <c r="M74" s="73" t="s">
        <v>42</v>
      </c>
      <c r="N74" s="73" t="s">
        <v>42</v>
      </c>
      <c r="O74" s="73" t="s">
        <v>42</v>
      </c>
      <c r="P74" s="73" t="s">
        <v>42</v>
      </c>
      <c r="Q74" s="73" t="s">
        <v>42</v>
      </c>
    </row>
    <row r="75" customFormat="false" ht="15.75" hidden="false" customHeight="false" outlineLevel="0" collapsed="false">
      <c r="B75" s="2" t="s">
        <v>148</v>
      </c>
      <c r="C75" s="2" t="n">
        <v>15</v>
      </c>
      <c r="D75" s="2" t="n">
        <v>16</v>
      </c>
      <c r="E75" s="2" t="n">
        <v>15</v>
      </c>
      <c r="F75" s="2" t="n">
        <v>16</v>
      </c>
      <c r="G75" s="2" t="n">
        <v>20</v>
      </c>
      <c r="H75" s="2" t="n">
        <v>26</v>
      </c>
      <c r="I75" s="2" t="n">
        <v>27</v>
      </c>
      <c r="J75" s="2" t="n">
        <v>28</v>
      </c>
      <c r="K75" s="2" t="n">
        <v>28</v>
      </c>
      <c r="L75" s="2" t="n">
        <v>37</v>
      </c>
      <c r="M75" s="2" t="n">
        <v>26</v>
      </c>
      <c r="N75" s="2" t="n">
        <v>7</v>
      </c>
      <c r="O75" s="0" t="n">
        <f aca="false">SUM(C75:N75)</f>
        <v>261</v>
      </c>
      <c r="P75" s="5" t="n">
        <f aca="false">AVERAGE(C75:N75)</f>
        <v>21.75</v>
      </c>
      <c r="Q75" s="0" t="n">
        <f aca="false">MEDIAN(C75:N75)</f>
        <v>23</v>
      </c>
    </row>
    <row r="76" customFormat="false" ht="15.75" hidden="false" customHeight="false" outlineLevel="0" collapsed="false">
      <c r="B76" s="69" t="s">
        <v>44</v>
      </c>
      <c r="C76" s="73" t="s">
        <v>42</v>
      </c>
      <c r="D76" s="78" t="n">
        <f aca="false">(D75-C75)/C75</f>
        <v>0.0666666666666667</v>
      </c>
      <c r="E76" s="78" t="n">
        <f aca="false">(E75-D75)/D75</f>
        <v>-0.0625</v>
      </c>
      <c r="F76" s="78" t="n">
        <f aca="false">(F75-E75)/E75</f>
        <v>0.0666666666666667</v>
      </c>
      <c r="G76" s="78" t="n">
        <f aca="false">(G75-F75)/F75</f>
        <v>0.25</v>
      </c>
      <c r="H76" s="78" t="n">
        <f aca="false">(H75-G75)/G75</f>
        <v>0.3</v>
      </c>
      <c r="I76" s="78" t="n">
        <f aca="false">(I75-H75)/H75</f>
        <v>0.0384615384615385</v>
      </c>
      <c r="J76" s="78" t="n">
        <f aca="false">(J75-I75)/I75</f>
        <v>0.037037037037037</v>
      </c>
      <c r="K76" s="78" t="n">
        <f aca="false">(K75-J75)/J75</f>
        <v>0</v>
      </c>
      <c r="L76" s="78" t="n">
        <f aca="false">(L75-K75)/K75</f>
        <v>0.321428571428571</v>
      </c>
      <c r="M76" s="78" t="n">
        <f aca="false">(M75-L75)/L75</f>
        <v>-0.297297297297297</v>
      </c>
      <c r="N76" s="78" t="n">
        <f aca="false">(N75-M75)/M75</f>
        <v>-0.730769230769231</v>
      </c>
      <c r="O76" s="73" t="s">
        <v>42</v>
      </c>
      <c r="P76" s="73" t="s">
        <v>42</v>
      </c>
      <c r="Q76" s="73" t="s">
        <v>42</v>
      </c>
    </row>
    <row r="77" customFormat="false" ht="15.75" hidden="false" customHeight="false" outlineLevel="0" collapsed="false">
      <c r="B77" s="69" t="s">
        <v>45</v>
      </c>
      <c r="C77" s="73" t="s">
        <v>42</v>
      </c>
      <c r="D77" s="73" t="s">
        <v>42</v>
      </c>
      <c r="E77" s="73" t="s">
        <v>42</v>
      </c>
      <c r="F77" s="73" t="s">
        <v>42</v>
      </c>
      <c r="G77" s="73" t="s">
        <v>42</v>
      </c>
      <c r="H77" s="73" t="s">
        <v>42</v>
      </c>
      <c r="I77" s="73" t="s">
        <v>42</v>
      </c>
      <c r="J77" s="73" t="s">
        <v>42</v>
      </c>
      <c r="K77" s="73" t="s">
        <v>42</v>
      </c>
      <c r="L77" s="73" t="s">
        <v>42</v>
      </c>
      <c r="M77" s="73" t="s">
        <v>42</v>
      </c>
      <c r="N77" s="73" t="s">
        <v>42</v>
      </c>
      <c r="O77" s="73" t="s">
        <v>42</v>
      </c>
      <c r="P77" s="73" t="s">
        <v>42</v>
      </c>
      <c r="Q77" s="73" t="s">
        <v>42</v>
      </c>
    </row>
    <row r="78" customFormat="false" ht="15.75" hidden="false" customHeight="false" outlineLevel="0" collapsed="false">
      <c r="B78" s="2" t="s">
        <v>124</v>
      </c>
      <c r="M78" s="0" t="n">
        <f aca="false">30*5535</f>
        <v>166050</v>
      </c>
      <c r="N78" s="0" t="n">
        <f aca="false">3876*31</f>
        <v>120156</v>
      </c>
      <c r="O78" s="0" t="n">
        <f aca="false">SUM(M78:N78)</f>
        <v>286206</v>
      </c>
      <c r="P78" s="0" t="n">
        <f aca="false">AVERAGE(M78:N78)</f>
        <v>143103</v>
      </c>
      <c r="Q78" s="0" t="n">
        <f aca="false">MEDIAN(C78:N78)</f>
        <v>143103</v>
      </c>
    </row>
    <row r="79" customFormat="false" ht="16.5" hidden="false" customHeight="true" outlineLevel="0" collapsed="false">
      <c r="B79" s="69" t="s">
        <v>44</v>
      </c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78" t="n">
        <f aca="false">(N78-M78)/M78</f>
        <v>-0.2763866305</v>
      </c>
      <c r="O79" s="73" t="s">
        <v>42</v>
      </c>
      <c r="P79" s="73" t="s">
        <v>42</v>
      </c>
      <c r="Q79" s="73" t="s">
        <v>42</v>
      </c>
    </row>
    <row r="80" customFormat="false" ht="15.75" hidden="false" customHeight="false" outlineLevel="0" collapsed="false">
      <c r="B80" s="69" t="s">
        <v>45</v>
      </c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 t="s">
        <v>42</v>
      </c>
      <c r="N80" s="73" t="s">
        <v>42</v>
      </c>
      <c r="O80" s="73" t="s">
        <v>42</v>
      </c>
      <c r="P80" s="73" t="s">
        <v>42</v>
      </c>
      <c r="Q80" s="73" t="s">
        <v>42</v>
      </c>
    </row>
    <row r="88" customFormat="false" ht="15.75" hidden="false" customHeight="false" outlineLevel="0" collapsed="false">
      <c r="M88" s="0" t="n">
        <f aca="false">(5535+3876)/2</f>
        <v>4705.5</v>
      </c>
    </row>
    <row r="92" customFormat="false" ht="15.75" hidden="false" customHeight="false" outlineLevel="0" collapsed="false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3"/>
      <c r="P92" s="1"/>
      <c r="Q92" s="1"/>
    </row>
  </sheetData>
  <mergeCells count="30">
    <mergeCell ref="B2:D2"/>
    <mergeCell ref="B3:I3"/>
    <mergeCell ref="K3:L3"/>
    <mergeCell ref="B4:D4"/>
    <mergeCell ref="F4:I4"/>
    <mergeCell ref="K4:L4"/>
    <mergeCell ref="N4:O4"/>
    <mergeCell ref="B5:D5"/>
    <mergeCell ref="F5:I5"/>
    <mergeCell ref="N5:O5"/>
    <mergeCell ref="B6:D6"/>
    <mergeCell ref="F6:I6"/>
    <mergeCell ref="B7:D7"/>
    <mergeCell ref="F7:I7"/>
    <mergeCell ref="K7:L7"/>
    <mergeCell ref="B8:D8"/>
    <mergeCell ref="F8:I8"/>
    <mergeCell ref="B9:L9"/>
    <mergeCell ref="B10:D10"/>
    <mergeCell ref="B11:L11"/>
    <mergeCell ref="B12:D12"/>
    <mergeCell ref="B13:D13"/>
    <mergeCell ref="F13:I13"/>
    <mergeCell ref="B14:D14"/>
    <mergeCell ref="F14:I14"/>
    <mergeCell ref="B15:D15"/>
    <mergeCell ref="B25:Q25"/>
    <mergeCell ref="B47:Q47"/>
    <mergeCell ref="B54:Q54"/>
    <mergeCell ref="B70:Q70"/>
  </mergeCells>
  <conditionalFormatting sqref="K4:K8 L5:L8 K10:L10 K12:L15">
    <cfRule type="cellIs" priority="2" operator="lessThan" aboveAverage="0" equalAverage="0" bottom="0" percent="0" rank="0" text="" dxfId="0">
      <formula>0.35</formula>
    </cfRule>
  </conditionalFormatting>
  <conditionalFormatting sqref="K4:K8 L5:L8 K10:L10 K12:L15">
    <cfRule type="cellIs" priority="3" operator="between" aboveAverage="0" equalAverage="0" bottom="0" percent="0" rank="0" text="" dxfId="1">
      <formula>0.36</formula>
      <formula>0.6</formula>
    </cfRule>
  </conditionalFormatting>
  <conditionalFormatting sqref="K4:K8 L5:L8 K10:L10 K12:L15">
    <cfRule type="cellIs" priority="4" operator="between" aboveAverage="0" equalAverage="0" bottom="0" percent="0" rank="0" text="" dxfId="2">
      <formula>0.6</formula>
      <formula>0.85</formula>
    </cfRule>
  </conditionalFormatting>
  <conditionalFormatting sqref="K4:K8 L5:L8 K10:L10 K12:L15">
    <cfRule type="cellIs" priority="5" operator="between" aboveAverage="0" equalAverage="0" bottom="0" percent="0" rank="0" text="" dxfId="3">
      <formula>0.86</formula>
      <formula>0.99</formula>
    </cfRule>
  </conditionalFormatting>
  <conditionalFormatting sqref="K4:K8 L5:L8 K10:L10 K12:L15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.25"/>
    <col collapsed="false" customWidth="true" hidden="false" outlineLevel="0" max="3" min="3" style="0" width="9.88"/>
    <col collapsed="false" customWidth="true" hidden="false" outlineLevel="0" max="4" min="4" style="0" width="6.88"/>
    <col collapsed="false" customWidth="true" hidden="false" outlineLevel="0" max="5" min="5" style="0" width="7.88"/>
    <col collapsed="false" customWidth="true" hidden="false" outlineLevel="0" max="9" min="6" style="0" width="9.51"/>
    <col collapsed="false" customWidth="true" hidden="false" outlineLevel="0" max="10" min="10" style="0" width="9.88"/>
    <col collapsed="false" customWidth="true" hidden="false" outlineLevel="0" max="11" min="11" style="0" width="9.13"/>
    <col collapsed="false" customWidth="true" hidden="false" outlineLevel="0" max="12" min="12" style="0" width="11.25"/>
    <col collapsed="false" customWidth="true" hidden="false" outlineLevel="0" max="16" min="16" style="0" width="8.25"/>
  </cols>
  <sheetData>
    <row r="1" customFormat="false" ht="15.75" hidden="false" customHeight="false" outlineLevel="0" collapsed="false">
      <c r="A1" s="2" t="s">
        <v>97</v>
      </c>
    </row>
    <row r="2" customFormat="false" ht="15.75" hidden="false" customHeight="false" outlineLevel="0" collapsed="false">
      <c r="B2" s="48" t="s">
        <v>84</v>
      </c>
      <c r="C2" s="48"/>
      <c r="D2" s="48"/>
      <c r="E2" s="49" t="n">
        <v>2020</v>
      </c>
      <c r="F2" s="49" t="s">
        <v>98</v>
      </c>
      <c r="G2" s="49" t="s">
        <v>99</v>
      </c>
      <c r="H2" s="49" t="s">
        <v>100</v>
      </c>
      <c r="I2" s="49" t="s">
        <v>100</v>
      </c>
      <c r="J2" s="49" t="s">
        <v>9</v>
      </c>
      <c r="K2" s="49" t="s">
        <v>11</v>
      </c>
      <c r="L2" s="49" t="s">
        <v>101</v>
      </c>
      <c r="N2" s="108" t="s">
        <v>134</v>
      </c>
    </row>
    <row r="3" customFormat="false" ht="15.75" hidden="false" customHeight="false" outlineLevel="0" collapsed="false">
      <c r="B3" s="60" t="s">
        <v>12</v>
      </c>
      <c r="C3" s="60"/>
      <c r="D3" s="60"/>
      <c r="E3" s="60"/>
      <c r="F3" s="60"/>
      <c r="G3" s="60"/>
      <c r="H3" s="60"/>
      <c r="I3" s="60"/>
      <c r="J3" s="92" t="n">
        <v>44561</v>
      </c>
      <c r="K3" s="53"/>
      <c r="L3" s="53"/>
      <c r="N3" s="2" t="s">
        <v>149</v>
      </c>
      <c r="P3" s="2" t="s">
        <v>150</v>
      </c>
    </row>
    <row r="4" customFormat="false" ht="17.65" hidden="false" customHeight="false" outlineLevel="0" collapsed="false">
      <c r="B4" s="54" t="s">
        <v>137</v>
      </c>
      <c r="C4" s="54"/>
      <c r="D4" s="54"/>
      <c r="E4" s="55" t="n">
        <f aca="false">'2020'!J4</f>
        <v>5137.1075</v>
      </c>
      <c r="F4" s="93" t="s">
        <v>104</v>
      </c>
      <c r="G4" s="93"/>
      <c r="H4" s="93"/>
      <c r="I4" s="93"/>
      <c r="J4" s="94" t="n">
        <f aca="false">P33</f>
        <v>4352.280833</v>
      </c>
      <c r="K4" s="57" t="n">
        <f aca="false">4500/J4</f>
        <v>1.033940633</v>
      </c>
      <c r="L4" s="57"/>
      <c r="N4" s="109" t="s">
        <v>151</v>
      </c>
      <c r="O4" s="109"/>
      <c r="P4" s="2" t="s">
        <v>152</v>
      </c>
    </row>
    <row r="5" customFormat="false" ht="17.65" hidden="false" customHeight="false" outlineLevel="0" collapsed="false">
      <c r="B5" s="54" t="s">
        <v>153</v>
      </c>
      <c r="C5" s="54"/>
      <c r="D5" s="54"/>
      <c r="E5" s="54" t="n">
        <f aca="false">'2020'!J6</f>
        <v>336402</v>
      </c>
      <c r="F5" s="93" t="s">
        <v>104</v>
      </c>
      <c r="G5" s="93"/>
      <c r="H5" s="93"/>
      <c r="I5" s="93"/>
      <c r="J5" s="99" t="n">
        <v>466866</v>
      </c>
      <c r="K5" s="112" t="n">
        <f aca="false">J5/380000</f>
        <v>1.228594737</v>
      </c>
      <c r="L5" s="57" t="n">
        <f aca="false">(J5-E5)/(MONTH(DATEVALUE(J3))*((380000-E5)/12))</f>
        <v>2.992430845</v>
      </c>
      <c r="N5" s="109" t="s">
        <v>154</v>
      </c>
      <c r="O5" s="109"/>
      <c r="P5" s="2" t="s">
        <v>155</v>
      </c>
    </row>
    <row r="6" customFormat="false" ht="17.65" hidden="false" customHeight="false" outlineLevel="0" collapsed="false">
      <c r="B6" s="54" t="s">
        <v>139</v>
      </c>
      <c r="C6" s="54"/>
      <c r="D6" s="54"/>
      <c r="E6" s="55" t="n">
        <f aca="false">'2020'!J7</f>
        <v>171628.65</v>
      </c>
      <c r="F6" s="93" t="s">
        <v>104</v>
      </c>
      <c r="G6" s="93"/>
      <c r="H6" s="93"/>
      <c r="I6" s="93"/>
      <c r="J6" s="94" t="n">
        <f aca="false">O37</f>
        <v>214724.63</v>
      </c>
      <c r="K6" s="57" t="n">
        <f aca="false">J6/(E6*1.07)</f>
        <v>1.169252478</v>
      </c>
      <c r="L6" s="57" t="n">
        <f aca="false">(J6)/(MONTH(DATEVALUE(J3))*((1.07*E6)/12))</f>
        <v>1.169252478</v>
      </c>
      <c r="N6" s="79"/>
    </row>
    <row r="7" customFormat="false" ht="17.65" hidden="false" customHeight="false" outlineLevel="0" collapsed="false">
      <c r="B7" s="54" t="s">
        <v>108</v>
      </c>
      <c r="C7" s="54"/>
      <c r="D7" s="54"/>
      <c r="E7" s="96" t="n">
        <v>44</v>
      </c>
      <c r="F7" s="93" t="s">
        <v>104</v>
      </c>
      <c r="G7" s="93"/>
      <c r="H7" s="93"/>
      <c r="I7" s="93"/>
      <c r="J7" s="94" t="n">
        <f aca="false">P39*100</f>
        <v>48.11196649</v>
      </c>
      <c r="K7" s="57" t="n">
        <f aca="false">J7/50</f>
        <v>0.9622393298</v>
      </c>
      <c r="L7" s="57"/>
      <c r="N7" s="2" t="s">
        <v>156</v>
      </c>
    </row>
    <row r="8" customFormat="false" ht="17.65" hidden="false" customHeight="false" outlineLevel="0" collapsed="false">
      <c r="B8" s="54" t="s">
        <v>18</v>
      </c>
      <c r="C8" s="54"/>
      <c r="D8" s="54"/>
      <c r="E8" s="54" t="n">
        <f aca="false">'2020'!J8</f>
        <v>6</v>
      </c>
      <c r="F8" s="93" t="s">
        <v>104</v>
      </c>
      <c r="G8" s="93"/>
      <c r="H8" s="93"/>
      <c r="I8" s="93"/>
      <c r="J8" s="99" t="n">
        <v>3</v>
      </c>
      <c r="K8" s="57" t="n">
        <f aca="false">J8/3</f>
        <v>1</v>
      </c>
      <c r="L8" s="57" t="n">
        <f aca="false">J8/(MONTH(DATEVALUE(J3))*(3/12))</f>
        <v>1</v>
      </c>
      <c r="N8" s="2" t="s">
        <v>157</v>
      </c>
    </row>
    <row r="9" customFormat="false" ht="15.75" hidden="false" customHeight="false" outlineLevel="0" collapsed="false">
      <c r="B9" s="60" t="s">
        <v>158</v>
      </c>
      <c r="C9" s="60"/>
      <c r="D9" s="60"/>
      <c r="E9" s="60"/>
      <c r="F9" s="60"/>
      <c r="G9" s="60"/>
      <c r="H9" s="60"/>
      <c r="I9" s="60"/>
      <c r="J9" s="60"/>
      <c r="K9" s="60"/>
      <c r="L9" s="60"/>
      <c r="N9" s="2" t="s">
        <v>159</v>
      </c>
    </row>
    <row r="10" customFormat="false" ht="17.65" hidden="false" customHeight="false" outlineLevel="0" collapsed="false">
      <c r="B10" s="54" t="s">
        <v>160</v>
      </c>
      <c r="C10" s="54"/>
      <c r="D10" s="54"/>
      <c r="E10" s="54" t="n">
        <f aca="false">'2020'!J10</f>
        <v>7</v>
      </c>
      <c r="F10" s="93" t="s">
        <v>104</v>
      </c>
      <c r="G10" s="93"/>
      <c r="H10" s="93"/>
      <c r="I10" s="93"/>
      <c r="J10" s="99" t="n">
        <v>5</v>
      </c>
      <c r="K10" s="57" t="n">
        <f aca="false">J10/4</f>
        <v>1.25</v>
      </c>
      <c r="L10" s="57" t="n">
        <f aca="false">J10/(MONTH(DATEVALUE(J3))*(4/12))</f>
        <v>1.25</v>
      </c>
      <c r="N10" s="2" t="s">
        <v>161</v>
      </c>
    </row>
    <row r="11" customFormat="false" ht="15.75" hidden="false" customHeight="false" outlineLevel="0" collapsed="false">
      <c r="B11" s="60" t="s">
        <v>111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N11" s="2" t="s">
        <v>162</v>
      </c>
    </row>
    <row r="12" customFormat="false" ht="17.65" hidden="false" customHeight="false" outlineLevel="0" collapsed="false">
      <c r="B12" s="54" t="s">
        <v>163</v>
      </c>
      <c r="C12" s="54"/>
      <c r="D12" s="54"/>
      <c r="E12" s="54" t="n">
        <f aca="false">'2020'!J13</f>
        <v>3313</v>
      </c>
      <c r="F12" s="100"/>
      <c r="G12" s="100"/>
      <c r="H12" s="93" t="s">
        <v>35</v>
      </c>
      <c r="I12" s="100"/>
      <c r="J12" s="102" t="n">
        <v>2765</v>
      </c>
      <c r="K12" s="57" t="n">
        <f aca="false">J12/5000</f>
        <v>0.553</v>
      </c>
      <c r="L12" s="57" t="n">
        <f aca="false">(J12-E12)/(MONTH(DATEVALUE(J3))*((5000-E12)/9))</f>
        <v>-0.2436277416</v>
      </c>
      <c r="N12" s="2" t="s">
        <v>164</v>
      </c>
    </row>
    <row r="13" customFormat="false" ht="17.65" hidden="false" customHeight="false" outlineLevel="0" collapsed="false">
      <c r="B13" s="54" t="s">
        <v>165</v>
      </c>
      <c r="C13" s="54"/>
      <c r="D13" s="54"/>
      <c r="E13" s="96" t="n">
        <f aca="false">'2020'!J15</f>
        <v>90</v>
      </c>
      <c r="F13" s="93" t="s">
        <v>104</v>
      </c>
      <c r="G13" s="93"/>
      <c r="H13" s="93"/>
      <c r="I13" s="93"/>
      <c r="J13" s="102" t="n">
        <f aca="false">O63</f>
        <v>130</v>
      </c>
      <c r="K13" s="57" t="n">
        <f aca="false">J13/60</f>
        <v>2.16666666666667</v>
      </c>
      <c r="L13" s="57" t="e">
        <f aca="false">J13/(MONTH(DATEVALUE($J$3))*(60/12))</f>
        <v>#VALUE!</v>
      </c>
    </row>
    <row r="14" customFormat="false" ht="17.65" hidden="false" customHeight="false" outlineLevel="0" collapsed="false">
      <c r="B14" s="54" t="s">
        <v>166</v>
      </c>
      <c r="C14" s="54"/>
      <c r="D14" s="54"/>
      <c r="E14" s="96" t="n">
        <v>30</v>
      </c>
      <c r="F14" s="93" t="s">
        <v>104</v>
      </c>
      <c r="G14" s="93"/>
      <c r="H14" s="93"/>
      <c r="I14" s="93"/>
      <c r="J14" s="102" t="n">
        <f aca="false">O58</f>
        <v>127</v>
      </c>
      <c r="K14" s="57" t="n">
        <f aca="false">J14/60</f>
        <v>2.11666666666667</v>
      </c>
      <c r="L14" s="57" t="e">
        <f aca="false">J14/(MONTH(DATEVALUE($J$3))*(60/12))</f>
        <v>#VALUE!</v>
      </c>
      <c r="N14" s="2" t="s">
        <v>167</v>
      </c>
    </row>
    <row r="15" customFormat="false" ht="15.75" hidden="false" customHeight="false" outlineLevel="0" collapsed="false">
      <c r="B15" s="60" t="s">
        <v>19</v>
      </c>
      <c r="C15" s="60"/>
      <c r="D15" s="60"/>
      <c r="E15" s="60"/>
      <c r="F15" s="60"/>
      <c r="G15" s="60"/>
      <c r="H15" s="60"/>
      <c r="I15" s="60"/>
      <c r="J15" s="60"/>
      <c r="K15" s="60"/>
      <c r="L15" s="60"/>
      <c r="N15" s="2" t="s">
        <v>168</v>
      </c>
    </row>
    <row r="16" customFormat="false" ht="17.65" hidden="false" customHeight="false" outlineLevel="0" collapsed="false">
      <c r="B16" s="54" t="s">
        <v>169</v>
      </c>
      <c r="C16" s="54"/>
      <c r="D16" s="54"/>
      <c r="E16" s="96" t="s">
        <v>42</v>
      </c>
      <c r="F16" s="93" t="s">
        <v>29</v>
      </c>
      <c r="G16" s="50"/>
      <c r="H16" s="100"/>
      <c r="I16" s="100"/>
      <c r="J16" s="102" t="n">
        <v>100</v>
      </c>
      <c r="K16" s="57" t="n">
        <f aca="false">J16/100</f>
        <v>1</v>
      </c>
      <c r="L16" s="57" t="n">
        <f aca="false">K16</f>
        <v>1</v>
      </c>
    </row>
    <row r="17" customFormat="false" ht="17.65" hidden="false" customHeight="false" outlineLevel="0" collapsed="false">
      <c r="B17" s="54" t="s">
        <v>170</v>
      </c>
      <c r="C17" s="54"/>
      <c r="D17" s="54"/>
      <c r="E17" s="96" t="n">
        <f aca="false">'2020'!J18</f>
        <v>278</v>
      </c>
      <c r="F17" s="93" t="s">
        <v>104</v>
      </c>
      <c r="G17" s="93"/>
      <c r="H17" s="93"/>
      <c r="I17" s="93"/>
      <c r="J17" s="102" t="n">
        <f aca="false">O50</f>
        <v>223</v>
      </c>
      <c r="K17" s="57" t="n">
        <f aca="false">J17/250</f>
        <v>0.892</v>
      </c>
      <c r="L17" s="57" t="e">
        <f aca="false">J17/(MONTH(DATEVALUE(J3))*(250/12))</f>
        <v>#VALUE!</v>
      </c>
    </row>
    <row r="18" customFormat="false" ht="17.65" hidden="false" customHeight="false" outlineLevel="0" collapsed="false">
      <c r="B18" s="54" t="s">
        <v>114</v>
      </c>
      <c r="C18" s="54"/>
      <c r="D18" s="54"/>
      <c r="E18" s="96" t="n">
        <v>30</v>
      </c>
      <c r="F18" s="93" t="s">
        <v>104</v>
      </c>
      <c r="G18" s="93"/>
      <c r="H18" s="93"/>
      <c r="I18" s="93"/>
      <c r="J18" s="102" t="n">
        <f aca="false">O53</f>
        <v>83</v>
      </c>
      <c r="K18" s="57" t="n">
        <f aca="false">J18/100</f>
        <v>0.83</v>
      </c>
      <c r="L18" s="57" t="n">
        <f aca="false">J18/(MONTH(DATEVALUE(J3))*(100/12))</f>
        <v>0.83</v>
      </c>
    </row>
    <row r="19" customFormat="false" ht="17.65" hidden="false" customHeight="false" outlineLevel="0" collapsed="false">
      <c r="B19" s="54" t="s">
        <v>171</v>
      </c>
      <c r="C19" s="54"/>
      <c r="D19" s="54"/>
      <c r="E19" s="96" t="s">
        <v>172</v>
      </c>
      <c r="F19" s="93" t="s">
        <v>104</v>
      </c>
      <c r="G19" s="93"/>
      <c r="H19" s="93"/>
      <c r="I19" s="93"/>
      <c r="J19" s="102" t="n">
        <f aca="false">O56</f>
        <v>145</v>
      </c>
      <c r="K19" s="57" t="n">
        <f aca="false">J19/125</f>
        <v>1.16</v>
      </c>
      <c r="L19" s="57" t="n">
        <f aca="false">J19/(MONTH(DATEVALUE(J3))*(125/12))</f>
        <v>1.16</v>
      </c>
    </row>
    <row r="25" customFormat="false" ht="22.05" hidden="false" customHeight="false" outlineLevel="0" collapsed="false">
      <c r="B25" s="81" t="s">
        <v>26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</row>
    <row r="26" customFormat="false" ht="15.75" hidden="false" customHeight="false" outlineLevel="0" collapsed="false">
      <c r="B26" s="1"/>
      <c r="C26" s="65" t="s">
        <v>27</v>
      </c>
      <c r="D26" s="65" t="s">
        <v>28</v>
      </c>
      <c r="E26" s="65" t="s">
        <v>29</v>
      </c>
      <c r="F26" s="65" t="s">
        <v>30</v>
      </c>
      <c r="G26" s="65" t="s">
        <v>31</v>
      </c>
      <c r="H26" s="65" t="s">
        <v>32</v>
      </c>
      <c r="I26" s="65" t="s">
        <v>33</v>
      </c>
      <c r="J26" s="65" t="s">
        <v>34</v>
      </c>
      <c r="K26" s="65" t="s">
        <v>35</v>
      </c>
      <c r="L26" s="65" t="s">
        <v>36</v>
      </c>
      <c r="M26" s="65" t="s">
        <v>37</v>
      </c>
      <c r="N26" s="65" t="s">
        <v>38</v>
      </c>
      <c r="O26" s="65" t="s">
        <v>39</v>
      </c>
      <c r="P26" s="66" t="s">
        <v>40</v>
      </c>
      <c r="Q26" s="66" t="s">
        <v>41</v>
      </c>
    </row>
    <row r="27" customFormat="false" ht="15.75" hidden="false" customHeight="false" outlineLevel="0" collapsed="false">
      <c r="B27" s="67" t="s">
        <v>4</v>
      </c>
      <c r="C27" s="74" t="n">
        <v>346894</v>
      </c>
      <c r="D27" s="74" t="n">
        <v>361275</v>
      </c>
      <c r="E27" s="74" t="n">
        <v>394738</v>
      </c>
      <c r="F27" s="74" t="n">
        <v>406973</v>
      </c>
      <c r="G27" s="74" t="n">
        <v>400053</v>
      </c>
      <c r="H27" s="74" t="n">
        <v>418884</v>
      </c>
      <c r="I27" s="74" t="n">
        <v>407601</v>
      </c>
      <c r="J27" s="74" t="n">
        <v>428566</v>
      </c>
      <c r="K27" s="74" t="n">
        <v>428511</v>
      </c>
      <c r="L27" s="74" t="n">
        <v>447924</v>
      </c>
      <c r="M27" s="2" t="n">
        <v>458040</v>
      </c>
      <c r="N27" s="2" t="n">
        <v>470254</v>
      </c>
      <c r="O27" s="2" t="n">
        <f aca="false">IFERROR(LOOKUP(9^9,C27:N27),"")</f>
        <v>470254</v>
      </c>
      <c r="P27" s="2" t="s">
        <v>42</v>
      </c>
      <c r="Q27" s="2" t="s">
        <v>42</v>
      </c>
    </row>
    <row r="28" customFormat="false" ht="15.75" hidden="false" customHeight="false" outlineLevel="0" collapsed="false">
      <c r="B28" s="69" t="s">
        <v>43</v>
      </c>
      <c r="C28" s="69"/>
      <c r="D28" s="104" t="n">
        <f aca="false">IF(D27&gt;0,D27-C27,"")</f>
        <v>14381</v>
      </c>
      <c r="E28" s="104" t="n">
        <f aca="false">IF(E27&gt;0,E27-D27,"")</f>
        <v>33463</v>
      </c>
      <c r="F28" s="104" t="n">
        <f aca="false">IF(F27&gt;0,F27-E27,"")</f>
        <v>12235</v>
      </c>
      <c r="G28" s="104" t="n">
        <f aca="false">IF(G27&gt;0,G27-F27,"")</f>
        <v>-6920</v>
      </c>
      <c r="H28" s="104" t="n">
        <f aca="false">IF(H27&gt;0,H27-G27,"")</f>
        <v>18831</v>
      </c>
      <c r="I28" s="104" t="n">
        <f aca="false">IF(I27&gt;0,I27-H27,"")</f>
        <v>-11283</v>
      </c>
      <c r="J28" s="104" t="n">
        <f aca="false">IF(J27&gt;0,J27-I27,"")</f>
        <v>20965</v>
      </c>
      <c r="K28" s="104" t="n">
        <f aca="false">IF(K27&gt;0,K27-J27,"")</f>
        <v>-55</v>
      </c>
      <c r="L28" s="104" t="n">
        <f aca="false">IF(L27&gt;0,L27-K27,"")</f>
        <v>19413</v>
      </c>
      <c r="M28" s="104" t="n">
        <f aca="false">IF(M27&gt;0,M27-L27,"")</f>
        <v>10116</v>
      </c>
      <c r="N28" s="69" t="n">
        <f aca="false">IF(N27&gt;0,N27-M27,"")</f>
        <v>12214</v>
      </c>
      <c r="O28" s="71" t="n">
        <f aca="false">SUM(C28:N28)</f>
        <v>123360</v>
      </c>
      <c r="P28" s="71" t="n">
        <f aca="false">AVERAGE(C28:N28)</f>
        <v>11214.5454545455</v>
      </c>
      <c r="Q28" s="71" t="n">
        <f aca="false">MEDIAN(C28:N28)</f>
        <v>12235</v>
      </c>
    </row>
    <row r="29" customFormat="false" ht="15.75" hidden="false" customHeight="false" outlineLevel="0" collapsed="false">
      <c r="B29" s="69" t="s">
        <v>44</v>
      </c>
      <c r="C29" s="69"/>
      <c r="D29" s="72" t="n">
        <f aca="false">IF(D27&gt;0,(D27-C27)/C27,"")</f>
        <v>0.0414564679700427</v>
      </c>
      <c r="E29" s="72" t="n">
        <f aca="false">IF(E27&gt;0,(E27-D27)/D27,"")</f>
        <v>0.092624731852467</v>
      </c>
      <c r="F29" s="72" t="n">
        <f aca="false">IF(F27&gt;0,(F27-E27)/E27,"")</f>
        <v>0.0309952424139556</v>
      </c>
      <c r="G29" s="72" t="n">
        <f aca="false">IF(G27&gt;0,(G27-F27)/F27,"")</f>
        <v>-0.0170035850044106</v>
      </c>
      <c r="H29" s="72" t="n">
        <f aca="false">IF(H27&gt;0,(H27-G27)/G27,"")</f>
        <v>0.0470712630576449</v>
      </c>
      <c r="I29" s="72" t="n">
        <f aca="false">IF(I27&gt;0,(I27-H27)/H27,"")</f>
        <v>-0.0269358581373364</v>
      </c>
      <c r="J29" s="72" t="n">
        <f aca="false">IF(J27&gt;0,(J27-I27)/I27,"")</f>
        <v>0.0514351044281049</v>
      </c>
      <c r="K29" s="72" t="n">
        <f aca="false">IF(K27&gt;0,(K27-J27)/J27,"")</f>
        <v>-0.00012833495890948</v>
      </c>
      <c r="L29" s="72" t="n">
        <f aca="false">IF(L27&gt;0,(L27-K27)/K27,"")</f>
        <v>0.0453033877776767</v>
      </c>
      <c r="M29" s="72" t="n">
        <f aca="false">IF(M27&gt;0,(M27-L27)/L27,"")</f>
        <v>0.0225841883891017</v>
      </c>
      <c r="N29" s="72" t="n">
        <f aca="false">IF(N27&gt;0,(N27-M27)/M27,"")</f>
        <v>0.0266657933804908</v>
      </c>
      <c r="O29" s="69" t="s">
        <v>42</v>
      </c>
      <c r="P29" s="72" t="n">
        <f aca="false">AVERAGE(C29:N29)</f>
        <v>0.0285516728335298</v>
      </c>
      <c r="Q29" s="72" t="n">
        <f aca="false">MEDIAN(C29:N29)</f>
        <v>0.0309952424139556</v>
      </c>
    </row>
    <row r="30" customFormat="false" ht="15.75" hidden="false" customHeight="false" outlineLevel="0" collapsed="false">
      <c r="B30" s="67" t="s">
        <v>5</v>
      </c>
      <c r="C30" s="2" t="n">
        <v>9</v>
      </c>
      <c r="D30" s="2" t="n">
        <v>9.78</v>
      </c>
      <c r="E30" s="2" t="n">
        <v>11.11</v>
      </c>
      <c r="F30" s="2" t="n">
        <v>11.53</v>
      </c>
      <c r="G30" s="2" t="n">
        <v>11.19</v>
      </c>
      <c r="H30" s="2" t="n">
        <v>10.48</v>
      </c>
      <c r="I30" s="2" t="n">
        <v>10.33</v>
      </c>
      <c r="J30" s="74" t="n">
        <v>9.57</v>
      </c>
      <c r="K30" s="74" t="n">
        <v>9.78</v>
      </c>
      <c r="L30" s="74" t="n">
        <v>10.56</v>
      </c>
      <c r="M30" s="2" t="n">
        <v>10.87</v>
      </c>
      <c r="N30" s="2" t="n">
        <v>11.42</v>
      </c>
      <c r="O30" s="3" t="n">
        <f aca="false">IFERROR(LOOKUP(9^9,C30:N30),"")</f>
        <v>11.42</v>
      </c>
      <c r="P30" s="3" t="n">
        <f aca="false">AVERAGE(C30:N30)</f>
        <v>10.4683333333333</v>
      </c>
      <c r="Q30" s="3" t="n">
        <f aca="false">MEDIAN(C30:N30)</f>
        <v>10.52</v>
      </c>
    </row>
    <row r="31" customFormat="false" ht="15.75" hidden="false" customHeight="false" outlineLevel="0" collapsed="false">
      <c r="B31" s="69" t="s">
        <v>46</v>
      </c>
      <c r="C31" s="75"/>
      <c r="D31" s="75" t="n">
        <f aca="false">IF(D30&gt;0,D30-C30,"")</f>
        <v>0.779999999999999</v>
      </c>
      <c r="E31" s="75" t="n">
        <f aca="false">IF(E30&gt;0,E30-D30,"")</f>
        <v>1.33</v>
      </c>
      <c r="F31" s="75" t="n">
        <f aca="false">IF(F30&gt;0,F30-E30,"")</f>
        <v>0.42</v>
      </c>
      <c r="G31" s="75" t="n">
        <f aca="false">IF(G30&gt;0,G30-F30,"")</f>
        <v>-0.34</v>
      </c>
      <c r="H31" s="75" t="n">
        <f aca="false">IF(H30&gt;0,H30-G30,"")</f>
        <v>-0.709999999999999</v>
      </c>
      <c r="I31" s="75" t="n">
        <f aca="false">IF(I30&gt;0,I30-H30,"")</f>
        <v>-0.15</v>
      </c>
      <c r="J31" s="71" t="n">
        <f aca="false">IF(J30&gt;0,J30-I30,"")</f>
        <v>-0.76</v>
      </c>
      <c r="K31" s="71" t="n">
        <f aca="false">IF(K30&gt;0,K30-J30,"")</f>
        <v>0.209999999999999</v>
      </c>
      <c r="L31" s="71" t="n">
        <f aca="false">IF(L30&gt;0,L30-K30,"")</f>
        <v>0.780000000000001</v>
      </c>
      <c r="M31" s="71" t="n">
        <f aca="false">IF(M30&gt;0,M30-L30,"")</f>
        <v>0.309999999999999</v>
      </c>
      <c r="N31" s="75" t="n">
        <f aca="false">IF(N30&gt;0,N30-M30,"")</f>
        <v>0.550000000000001</v>
      </c>
      <c r="O31" s="69" t="n">
        <f aca="false">SUM(C31:N31)</f>
        <v>2.42</v>
      </c>
      <c r="P31" s="69" t="n">
        <f aca="false">AVERAGE(C31:N31)</f>
        <v>0.22</v>
      </c>
      <c r="Q31" s="69" t="n">
        <f aca="false">MEDIAN(C31:N31)</f>
        <v>0.309999999999999</v>
      </c>
    </row>
    <row r="32" customFormat="false" ht="15.75" hidden="false" customHeight="false" outlineLevel="0" collapsed="false">
      <c r="B32" s="69" t="s">
        <v>44</v>
      </c>
      <c r="C32" s="75"/>
      <c r="D32" s="76" t="n">
        <f aca="false">IF(D30&gt;0,(D30-C30)/C30,"")</f>
        <v>0.0866666666666666</v>
      </c>
      <c r="E32" s="76" t="n">
        <f aca="false">IF(E30&gt;0,(E30-D30)/D30,"")</f>
        <v>0.1359918200409</v>
      </c>
      <c r="F32" s="76" t="n">
        <f aca="false">IF(F30&gt;0,(F30-E30)/E30,"")</f>
        <v>0.0378037803780378</v>
      </c>
      <c r="G32" s="76" t="n">
        <f aca="false">IF(G30&gt;0,(G30-F30)/F30,"")</f>
        <v>-0.0294882914137034</v>
      </c>
      <c r="H32" s="76" t="n">
        <f aca="false">IF(H30&gt;0,(H30-G30)/G30,"")</f>
        <v>-0.0634495084897229</v>
      </c>
      <c r="I32" s="76" t="n">
        <f aca="false">IF(I30&gt;0,(I30-H30)/H30,"")</f>
        <v>-0.0143129770992367</v>
      </c>
      <c r="J32" s="76" t="n">
        <f aca="false">IF(J30&gt;0,(J30-I30)/I30,"")</f>
        <v>-0.0735721200387221</v>
      </c>
      <c r="K32" s="76" t="n">
        <f aca="false">IF(K30&gt;0,(K30-J30)/J30,"")</f>
        <v>0.0219435736677115</v>
      </c>
      <c r="L32" s="76" t="n">
        <f aca="false">IF(L30&gt;0,(L30-K30)/K30,"")</f>
        <v>0.079754601226994</v>
      </c>
      <c r="M32" s="76" t="n">
        <f aca="false">IF(M30&gt;0,(M30-L30)/L30,"")</f>
        <v>0.0293560606060605</v>
      </c>
      <c r="N32" s="76" t="n">
        <f aca="false">IF(N30&gt;0,(N30-M30)/M30,"")</f>
        <v>0.0505979760809568</v>
      </c>
      <c r="O32" s="69" t="s">
        <v>42</v>
      </c>
      <c r="P32" s="72" t="n">
        <f aca="false">AVERAGE(C32:N32)</f>
        <v>0.0237537801478129</v>
      </c>
      <c r="Q32" s="72" t="n">
        <f aca="false">MEDIAN(C32:N32)</f>
        <v>0.0293560606060605</v>
      </c>
    </row>
    <row r="33" customFormat="false" ht="15.75" hidden="false" customHeight="false" outlineLevel="0" collapsed="false">
      <c r="B33" s="2" t="s">
        <v>1</v>
      </c>
      <c r="C33" s="2" t="n">
        <v>4151</v>
      </c>
      <c r="D33" s="2" t="n">
        <v>3891</v>
      </c>
      <c r="E33" s="2" t="n">
        <v>7357</v>
      </c>
      <c r="F33" s="2" t="n">
        <v>3368</v>
      </c>
      <c r="G33" s="2" t="n">
        <v>3814</v>
      </c>
      <c r="H33" s="2" t="n">
        <v>5946</v>
      </c>
      <c r="I33" s="74" t="n">
        <v>2930</v>
      </c>
      <c r="J33" s="74" t="n">
        <v>2724</v>
      </c>
      <c r="K33" s="74" t="n">
        <v>4313</v>
      </c>
      <c r="L33" s="74" t="n">
        <v>3985</v>
      </c>
      <c r="M33" s="74" t="n">
        <v>4136.11</v>
      </c>
      <c r="N33" s="2" t="n">
        <v>5612.26</v>
      </c>
      <c r="O33" s="0" t="n">
        <f aca="false">SUM(C33:N33)</f>
        <v>52227.37</v>
      </c>
      <c r="P33" s="0" t="n">
        <f aca="false">AVERAGE(C33:N33)</f>
        <v>4352.28083333333</v>
      </c>
      <c r="Q33" s="0" t="n">
        <f aca="false">MEDIAN(C33:N33)</f>
        <v>4060.555</v>
      </c>
    </row>
    <row r="34" customFormat="false" ht="15.75" hidden="false" customHeight="false" outlineLevel="0" collapsed="false">
      <c r="B34" s="69" t="s">
        <v>44</v>
      </c>
      <c r="C34" s="80"/>
      <c r="D34" s="78" t="n">
        <f aca="false">IF(D33&gt;0,(D33-C33)/C33,"")</f>
        <v>-0.0626355095157793</v>
      </c>
      <c r="E34" s="78" t="n">
        <f aca="false">IF(E33&gt;0,(E33-D33)/D33,"")</f>
        <v>0.890773580056541</v>
      </c>
      <c r="F34" s="78" t="n">
        <f aca="false">IF(F33&gt;0,(F33-E33)/E33,"")</f>
        <v>-0.542204703003942</v>
      </c>
      <c r="G34" s="78" t="n">
        <f aca="false">IF(G33&gt;0,(G33-F33)/F33,"")</f>
        <v>0.132422802850356</v>
      </c>
      <c r="H34" s="78" t="n">
        <f aca="false">IF(H33&gt;0,(H33-G33)/G33,"")</f>
        <v>0.558993183009963</v>
      </c>
      <c r="I34" s="78" t="n">
        <f aca="false">IF(I33&gt;0,(I33-H33)/H33,"")</f>
        <v>-0.507231752438614</v>
      </c>
      <c r="J34" s="78" t="n">
        <f aca="false">IF(J33&gt;0,(J33-I33)/I33,"")</f>
        <v>-0.0703071672354949</v>
      </c>
      <c r="K34" s="78" t="n">
        <f aca="false">IF(K33&gt;0,(K33-J33)/J33,"")</f>
        <v>0.583333333333333</v>
      </c>
      <c r="L34" s="78" t="n">
        <f aca="false">IF(L33&gt;0,(L33-K33)/K33,"")</f>
        <v>-0.0760491537213077</v>
      </c>
      <c r="M34" s="78" t="n">
        <f aca="false">IF(M33&gt;0,(M33-L33)/L33,"")</f>
        <v>0.0379196988707653</v>
      </c>
      <c r="N34" s="78" t="n">
        <f aca="false">IF(N33&gt;0,(N33-M33)/M33,"")</f>
        <v>0.356893312798741</v>
      </c>
      <c r="O34" s="78" t="n">
        <f aca="false">SUM(C34:N34)</f>
        <v>1.30190762500456</v>
      </c>
      <c r="P34" s="78" t="n">
        <f aca="false">AVERAGE(C34:N34)</f>
        <v>0.118355238636778</v>
      </c>
      <c r="Q34" s="78" t="n">
        <f aca="false">MEDIAN(C34:N34)</f>
        <v>0.0379196988707653</v>
      </c>
    </row>
    <row r="35" customFormat="false" ht="15.75" hidden="false" customHeight="false" outlineLevel="0" collapsed="false">
      <c r="B35" s="2" t="s">
        <v>2</v>
      </c>
      <c r="C35" s="113" t="n">
        <v>5748.56</v>
      </c>
      <c r="D35" s="2" t="n">
        <v>6747.64</v>
      </c>
      <c r="E35" s="2" t="n">
        <v>7958.15</v>
      </c>
      <c r="F35" s="2" t="n">
        <v>3391.39</v>
      </c>
      <c r="G35" s="2" t="n">
        <v>28331.35</v>
      </c>
      <c r="H35" s="2" t="n">
        <v>8042.43</v>
      </c>
      <c r="I35" s="2" t="n">
        <v>22628.02</v>
      </c>
      <c r="J35" s="2" t="n">
        <v>6570.81</v>
      </c>
      <c r="K35" s="2" t="n">
        <v>8095.93</v>
      </c>
      <c r="L35" s="2" t="n">
        <v>7817.73</v>
      </c>
      <c r="M35" s="2" t="n">
        <v>7948.81</v>
      </c>
      <c r="N35" s="2" t="n">
        <v>9633.82</v>
      </c>
      <c r="O35" s="0" t="n">
        <f aca="false">SUM(C35:N35)</f>
        <v>122914.64</v>
      </c>
      <c r="P35" s="0" t="n">
        <f aca="false">AVERAGE(C35:N35)</f>
        <v>10242.8866666667</v>
      </c>
      <c r="Q35" s="0" t="n">
        <f aca="false">MEDIAN(C35:N35)</f>
        <v>7953.48</v>
      </c>
    </row>
    <row r="36" customFormat="false" ht="15.75" hidden="false" customHeight="false" outlineLevel="0" collapsed="false">
      <c r="B36" s="69" t="s">
        <v>44</v>
      </c>
      <c r="C36" s="80"/>
      <c r="D36" s="78" t="n">
        <f aca="false">IF(D35&gt;0,(D35-C35)/C35,"")</f>
        <v>0.173796568184032</v>
      </c>
      <c r="E36" s="78" t="n">
        <f aca="false">IF(E35&gt;0,(E35-D35)/D35,"")</f>
        <v>0.179397537509411</v>
      </c>
      <c r="F36" s="78" t="n">
        <f aca="false">IF(F35&gt;0,(F35-E35)/E35,"")</f>
        <v>-0.573846936788073</v>
      </c>
      <c r="G36" s="78" t="n">
        <f aca="false">IF(G35&gt;0,(G35-F35)/F35,"")</f>
        <v>7.35390503598819</v>
      </c>
      <c r="H36" s="78" t="n">
        <f aca="false">IF(H35&gt;0,(H35-G35)/G35,"")</f>
        <v>-0.716129658487859</v>
      </c>
      <c r="I36" s="78" t="n">
        <f aca="false">IF(I35&gt;0,(I35-H35)/H35,"")</f>
        <v>1.8135799752065</v>
      </c>
      <c r="J36" s="78" t="n">
        <f aca="false">IF(J35&gt;0,(J35-I35)/I35,"")</f>
        <v>-0.709616219183119</v>
      </c>
      <c r="K36" s="78" t="n">
        <f aca="false">IF(K35&gt;0,(K35-J35)/J35,"")</f>
        <v>0.232105326436162</v>
      </c>
      <c r="L36" s="78" t="n">
        <f aca="false">IF(L35&gt;0,(L35-K35)/K35,"")</f>
        <v>-0.0343629453317903</v>
      </c>
      <c r="M36" s="78" t="n">
        <f aca="false">IF(M35&gt;0,(M35-L35)/L35,"")</f>
        <v>0.0167670154891511</v>
      </c>
      <c r="N36" s="78" t="n">
        <f aca="false">IF(N35&gt;0,(N35-M35)/M35,"")</f>
        <v>0.211982674136128</v>
      </c>
      <c r="O36" s="78" t="n">
        <f aca="false">SUM(C36:N36)</f>
        <v>7.94757837315874</v>
      </c>
      <c r="P36" s="78" t="n">
        <f aca="false">AVERAGE(C36:N36)</f>
        <v>0.722507124832612</v>
      </c>
      <c r="Q36" s="78" t="n">
        <f aca="false">MEDIAN(C36:N36)</f>
        <v>0.173796568184032</v>
      </c>
    </row>
    <row r="37" customFormat="false" ht="15.75" hidden="false" customHeight="false" outlineLevel="0" collapsed="false">
      <c r="B37" s="2" t="s">
        <v>3</v>
      </c>
      <c r="C37" s="2" t="n">
        <v>17277</v>
      </c>
      <c r="D37" s="2" t="n">
        <v>14909</v>
      </c>
      <c r="E37" s="2" t="n">
        <v>36228</v>
      </c>
      <c r="F37" s="2" t="n">
        <v>15282</v>
      </c>
      <c r="G37" s="2" t="n">
        <v>18534</v>
      </c>
      <c r="H37" s="2" t="n">
        <v>17084</v>
      </c>
      <c r="I37" s="2" t="n">
        <v>15629</v>
      </c>
      <c r="J37" s="2" t="n">
        <v>16715.65</v>
      </c>
      <c r="K37" s="74" t="n">
        <v>13965</v>
      </c>
      <c r="L37" s="74" t="n">
        <v>16431.99</v>
      </c>
      <c r="M37" s="74" t="n">
        <v>16808.42</v>
      </c>
      <c r="N37" s="2" t="n">
        <v>15860.57</v>
      </c>
      <c r="O37" s="0" t="n">
        <f aca="false">SUM(C37:N37)</f>
        <v>214724.63</v>
      </c>
      <c r="P37" s="0" t="n">
        <f aca="false">AVERAGE(C37:N37)</f>
        <v>17893.7191666667</v>
      </c>
      <c r="Q37" s="0" t="n">
        <f aca="false">MEDIAN(C37:N37)</f>
        <v>16573.82</v>
      </c>
    </row>
    <row r="38" customFormat="false" ht="15.75" hidden="false" customHeight="false" outlineLevel="0" collapsed="false">
      <c r="B38" s="69" t="s">
        <v>44</v>
      </c>
      <c r="C38" s="80"/>
      <c r="D38" s="78" t="n">
        <f aca="false">IF(D37&gt;0,(D37-C37)/C37,"")</f>
        <v>-0.137060832320426</v>
      </c>
      <c r="E38" s="78" t="n">
        <f aca="false">IF(E37&gt;0,(E37-D37)/D37,"")</f>
        <v>1.42994164598565</v>
      </c>
      <c r="F38" s="78" t="n">
        <f aca="false">IF(F37&gt;0,(F37-E37)/E37,"")</f>
        <v>-0.578171579993375</v>
      </c>
      <c r="G38" s="78" t="n">
        <f aca="false">IF(G37&gt;0,(G37-F37)/F37,"")</f>
        <v>0.212799371809973</v>
      </c>
      <c r="H38" s="78" t="n">
        <f aca="false">IF(H37&gt;0,(H37-G37)/G37,"")</f>
        <v>-0.0782345958778461</v>
      </c>
      <c r="I38" s="78" t="n">
        <f aca="false">IF(I37&gt;0,(I37-H37)/H37,"")</f>
        <v>-0.0851674081011473</v>
      </c>
      <c r="J38" s="78" t="n">
        <f aca="false">IF(J37&gt;0,(J37-I37)/I37,"")</f>
        <v>0.0695278008829741</v>
      </c>
      <c r="K38" s="78" t="n">
        <f aca="false">IF(K37&gt;0,(K37-J37)/J37,"")</f>
        <v>-0.16455537176239</v>
      </c>
      <c r="L38" s="78" t="n">
        <f aca="false">IF(L37&gt;0,(L37-K37)/K37,"")</f>
        <v>0.176655209452202</v>
      </c>
      <c r="M38" s="80" t="n">
        <f aca="false">IF(M37&gt;0,(M37-L37)/L37,"")</f>
        <v>0.0229083635031421</v>
      </c>
      <c r="N38" s="80" t="n">
        <f aca="false">IF(N37&gt;0,(N37-M37)/M37,"")</f>
        <v>-0.0563913800345302</v>
      </c>
      <c r="O38" s="78" t="n">
        <f aca="false">SUM(C38:N38)</f>
        <v>0.812251223544222</v>
      </c>
      <c r="P38" s="78" t="n">
        <f aca="false">AVERAGE(C38:N38)</f>
        <v>0.073841020322202</v>
      </c>
      <c r="Q38" s="78" t="n">
        <f aca="false">MEDIAN(C38:N38)</f>
        <v>-0.0563913800345302</v>
      </c>
    </row>
    <row r="39" customFormat="false" ht="15.75" hidden="false" customHeight="false" outlineLevel="0" collapsed="false">
      <c r="B39" s="2" t="s">
        <v>47</v>
      </c>
      <c r="C39" s="79" t="n">
        <f aca="false">IF(C35&gt;0,MAX(0,(C37-C35)/C37),"")</f>
        <v>0.667270938241593</v>
      </c>
      <c r="D39" s="79" t="n">
        <f aca="false">IF(D35&gt;0,MAX(0,(D37-D35)/D37),"")</f>
        <v>0.547411630558723</v>
      </c>
      <c r="E39" s="79" t="n">
        <f aca="false">IF(E35&gt;0,MAX(0,(E37-E35)/E37),"")</f>
        <v>0.780331511538037</v>
      </c>
      <c r="F39" s="79" t="n">
        <f aca="false">IF(F35&gt;0,MAX(0,(F37-F35)/F37),"")</f>
        <v>0.778079439863892</v>
      </c>
      <c r="G39" s="79" t="n">
        <f aca="false">IF(G35&gt;0,MAX(0,(G37-G35)/G37),"")</f>
        <v>0</v>
      </c>
      <c r="H39" s="79" t="n">
        <f aca="false">IF(H35&gt;0,MAX(0,(H37-H35)/H37),"")</f>
        <v>0.529241980800749</v>
      </c>
      <c r="I39" s="79" t="n">
        <f aca="false">IF(I35&gt;0,MAX(0,(I37-I35)/I37),"")</f>
        <v>0</v>
      </c>
      <c r="J39" s="79" t="n">
        <f aca="false">IF(J35&gt;0,MAX(0,(J37-J35)/J37),"")</f>
        <v>0.606906701205158</v>
      </c>
      <c r="K39" s="79" t="n">
        <f aca="false">IF(K35&gt;0,MAX(0,(K37-K35)/K37),"")</f>
        <v>0.420269960615825</v>
      </c>
      <c r="L39" s="79" t="n">
        <f aca="false">IF(L35&gt;0,MAX(0,(L37-L35)/L37),"")</f>
        <v>0.524237173951542</v>
      </c>
      <c r="M39" s="79" t="n">
        <f aca="false">IF(M35&gt;0,MAX(0,(M37-M35)/M37),"")</f>
        <v>0.52709356382099</v>
      </c>
      <c r="N39" s="79" t="n">
        <f aca="false">IF(N35&gt;0,MAX(0,(N37-N35)/N37),"")</f>
        <v>0.39259307830677</v>
      </c>
      <c r="O39" s="79" t="n">
        <f aca="false">IF(O35&gt;0,MAX(0,(O37-O35)/O37),"")</f>
        <v>0.427570838054302</v>
      </c>
      <c r="P39" s="79" t="n">
        <f aca="false">AVERAGE(C39:N39)</f>
        <v>0.481119664908607</v>
      </c>
      <c r="Q39" s="79" t="n">
        <f aca="false">MEDIAN(C39:N39)</f>
        <v>0.528167772310869</v>
      </c>
    </row>
    <row r="40" customFormat="false" ht="15.75" hidden="false" customHeight="false" outlineLevel="0" collapsed="false">
      <c r="B40" s="69" t="s">
        <v>44</v>
      </c>
      <c r="C40" s="80"/>
      <c r="D40" s="91" t="n">
        <f aca="false">IF(ISBLANK(D35),"",IF(C39=0,100,(D39-C39)/C39))</f>
        <v>-0.17962614706213</v>
      </c>
      <c r="E40" s="91" t="n">
        <f aca="false">IF(ISBLANK(E35),"",IF(D39=0,100,(E39-D39)/D39))</f>
        <v>0.425493117019785</v>
      </c>
      <c r="F40" s="91" t="n">
        <f aca="false">IF(ISBLANK(F35),"",IF(E39=0,100,(F39-E39)/E39))</f>
        <v>-0.00288604476539184</v>
      </c>
      <c r="G40" s="91" t="n">
        <f aca="false">IF(ISBLANK(G35),"",IF(F39=0,100,(G39-F39)/F39))</f>
        <v>-1</v>
      </c>
      <c r="H40" s="80" t="n">
        <f aca="false">IF(ISBLANK(H35),"",IF(G39=0,100,(H39-G39)/G39))</f>
        <v>100</v>
      </c>
      <c r="I40" s="91" t="n">
        <f aca="false">IF(ISBLANK(I35),"",IF(H39=0,100,(I39-H39)/H39))</f>
        <v>-1</v>
      </c>
      <c r="J40" s="80" t="n">
        <f aca="false">IF(ISBLANK(J35),"",IF(I39=0,100,(J39-I39)/I39))</f>
        <v>100</v>
      </c>
      <c r="K40" s="91" t="n">
        <f aca="false">IF(ISBLANK(K35),"",IF(J39=0,100,(K39-J39)/J39))</f>
        <v>-0.307521304705848</v>
      </c>
      <c r="L40" s="91" t="n">
        <f aca="false">IF(ISBLANK(L35),"",IF(K39=0,100,(L39-K39)/K39))</f>
        <v>0.247381976059799</v>
      </c>
      <c r="M40" s="91" t="n">
        <f aca="false">IF(ISBLANK(M35),"",IF(L39=0,100,(M39-L39)/L39))</f>
        <v>0.00544865952163763</v>
      </c>
      <c r="N40" s="91" t="n">
        <f aca="false">IF(ISBLANK(N35),"",IF(M39=0,100,(N39-M39)/M39))</f>
        <v>-0.255173833918979</v>
      </c>
      <c r="O40" s="73" t="s">
        <v>42</v>
      </c>
      <c r="P40" s="78" t="n">
        <f aca="false">AVERAGE(C40:N40)</f>
        <v>17.9939196747408</v>
      </c>
      <c r="Q40" s="78" t="n">
        <f aca="false">MEDIAN(C40:N40)</f>
        <v>-0.00288604476539184</v>
      </c>
    </row>
    <row r="41" customFormat="false" ht="15.75" hidden="false" customHeight="false" outlineLevel="0" collapsed="false"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2"/>
      <c r="P41" s="2"/>
    </row>
    <row r="42" customFormat="false" ht="15.75" hidden="false" customHeight="false" outlineLevel="0" collapsed="false"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</row>
    <row r="43" customFormat="false" ht="15.75" hidden="false" customHeight="false" outlineLevel="0" collapsed="false">
      <c r="I43" s="74"/>
      <c r="J43" s="74"/>
      <c r="K43" s="74"/>
      <c r="L43" s="74"/>
      <c r="M43" s="74"/>
      <c r="P43" s="5"/>
    </row>
    <row r="44" customFormat="false" ht="15.75" hidden="false" customHeight="false" outlineLevel="0" collapsed="false">
      <c r="K44" s="74"/>
      <c r="L44" s="74"/>
      <c r="M44" s="74"/>
      <c r="P44" s="5"/>
    </row>
    <row r="45" customFormat="false" ht="15.75" hidden="false" customHeight="false" outlineLevel="0" collapsed="false">
      <c r="P45" s="5"/>
    </row>
    <row r="46" customFormat="false" ht="15.75" hidden="false" customHeight="false" outlineLevel="0" collapsed="false">
      <c r="P46" s="5"/>
    </row>
    <row r="48" customFormat="false" ht="16.5" hidden="false" customHeight="true" outlineLevel="0" collapsed="false">
      <c r="B48" s="2" t="s">
        <v>173</v>
      </c>
      <c r="C48" s="2" t="s">
        <v>27</v>
      </c>
      <c r="D48" s="2" t="s">
        <v>28</v>
      </c>
      <c r="E48" s="2" t="s">
        <v>29</v>
      </c>
      <c r="F48" s="2" t="s">
        <v>30</v>
      </c>
      <c r="G48" s="2" t="s">
        <v>31</v>
      </c>
      <c r="H48" s="2" t="s">
        <v>32</v>
      </c>
      <c r="I48" s="2" t="s">
        <v>33</v>
      </c>
      <c r="J48" s="2" t="s">
        <v>34</v>
      </c>
      <c r="K48" s="2" t="s">
        <v>35</v>
      </c>
      <c r="L48" s="2" t="s">
        <v>36</v>
      </c>
      <c r="M48" s="2" t="s">
        <v>37</v>
      </c>
      <c r="N48" s="2" t="s">
        <v>38</v>
      </c>
      <c r="O48" s="2" t="s">
        <v>39</v>
      </c>
    </row>
    <row r="49" customFormat="false" ht="15.75" hidden="false" customHeight="false" outlineLevel="0" collapsed="false">
      <c r="B49" s="2" t="s">
        <v>174</v>
      </c>
      <c r="C49" s="2" t="n">
        <v>9</v>
      </c>
      <c r="D49" s="2" t="n">
        <v>8</v>
      </c>
      <c r="E49" s="2" t="n">
        <v>11</v>
      </c>
      <c r="F49" s="2" t="n">
        <v>7</v>
      </c>
      <c r="G49" s="2" t="n">
        <v>5</v>
      </c>
      <c r="H49" s="2" t="n">
        <v>5</v>
      </c>
      <c r="I49" s="2" t="n">
        <v>5</v>
      </c>
      <c r="J49" s="2" t="n">
        <v>12</v>
      </c>
      <c r="K49" s="2" t="n">
        <v>15</v>
      </c>
      <c r="L49" s="2" t="n">
        <v>15</v>
      </c>
      <c r="M49" s="2" t="n">
        <v>18</v>
      </c>
      <c r="N49" s="2" t="n">
        <v>18</v>
      </c>
      <c r="O49" s="0" t="n">
        <f aca="false">SUM(C49:N49)</f>
        <v>128</v>
      </c>
    </row>
    <row r="50" customFormat="false" ht="15.75" hidden="false" customHeight="false" outlineLevel="0" collapsed="false">
      <c r="B50" s="2" t="s">
        <v>39</v>
      </c>
      <c r="C50" s="0" t="n">
        <f aca="true">IF(MONTH(NOW())=1,DAY(NOW()),31)-C49</f>
        <v>22</v>
      </c>
      <c r="D50" s="0" t="n">
        <f aca="true">IF(MONTH(NOW())=2,DAY(NOW()),28)-D49</f>
        <v>20</v>
      </c>
      <c r="E50" s="0" t="n">
        <f aca="true">IF(MONTH(NOW())=3,DAY(NOW()),31)-E49</f>
        <v>20</v>
      </c>
      <c r="F50" s="0" t="n">
        <f aca="true">IF(MONTH(NOW())=4,DAY(NOW()),30)-F49</f>
        <v>23</v>
      </c>
      <c r="G50" s="0" t="n">
        <f aca="true">IF(MONTH(NOW())=5,DAY(NOW()),31)-G49</f>
        <v>12</v>
      </c>
      <c r="H50" s="0" t="n">
        <f aca="true">IF(MONTH(NOW())=6,DAY(NOW()),30)-H49</f>
        <v>25</v>
      </c>
      <c r="I50" s="0" t="n">
        <f aca="true">IF(MONTH(NOW())=7,DAY(NOW()),31)-I49</f>
        <v>26</v>
      </c>
      <c r="J50" s="0" t="n">
        <f aca="true">IF(MONTH(NOW())=8,DAY(NOW()),31)-J49</f>
        <v>19</v>
      </c>
      <c r="K50" s="0" t="n">
        <f aca="true">IF(MONTH(NOW())=9,DAY(NOW()),30)-K49</f>
        <v>15</v>
      </c>
      <c r="L50" s="0" t="n">
        <f aca="true">IF(MONTH(NOW())=10,DAY(NOW()),31)-L49</f>
        <v>16</v>
      </c>
      <c r="M50" s="0" t="n">
        <f aca="true">IF(MONTH(NOW())=11,DAY(NOW()),30)-M49</f>
        <v>12</v>
      </c>
      <c r="N50" s="0" t="n">
        <f aca="true">IF(MONTH(NOW())=12,DAY(NOW()),31)-N49</f>
        <v>13</v>
      </c>
      <c r="O50" s="0" t="n">
        <f aca="false">SUM(C50:N50)</f>
        <v>223</v>
      </c>
    </row>
    <row r="52" customFormat="false" ht="15.75" hidden="false" customHeight="false" outlineLevel="0" collapsed="false">
      <c r="B52" s="2" t="s">
        <v>175</v>
      </c>
      <c r="C52" s="2" t="s">
        <v>27</v>
      </c>
      <c r="D52" s="2" t="s">
        <v>28</v>
      </c>
      <c r="E52" s="2" t="s">
        <v>29</v>
      </c>
      <c r="F52" s="2" t="s">
        <v>30</v>
      </c>
      <c r="G52" s="2" t="s">
        <v>31</v>
      </c>
      <c r="H52" s="2" t="s">
        <v>32</v>
      </c>
      <c r="I52" s="2" t="s">
        <v>33</v>
      </c>
      <c r="J52" s="2" t="s">
        <v>34</v>
      </c>
      <c r="K52" s="2" t="s">
        <v>35</v>
      </c>
      <c r="L52" s="2" t="s">
        <v>36</v>
      </c>
      <c r="M52" s="2" t="s">
        <v>37</v>
      </c>
      <c r="N52" s="2" t="s">
        <v>38</v>
      </c>
      <c r="O52" s="2" t="s">
        <v>39</v>
      </c>
    </row>
    <row r="53" customFormat="false" ht="15.75" hidden="false" customHeight="false" outlineLevel="0" collapsed="false">
      <c r="B53" s="2" t="s">
        <v>39</v>
      </c>
      <c r="C53" s="2" t="n">
        <v>11</v>
      </c>
      <c r="D53" s="2" t="n">
        <v>8</v>
      </c>
      <c r="E53" s="2" t="n">
        <v>8</v>
      </c>
      <c r="F53" s="2" t="n">
        <v>9</v>
      </c>
      <c r="G53" s="2" t="n">
        <v>9</v>
      </c>
      <c r="H53" s="2" t="n">
        <v>9</v>
      </c>
      <c r="I53" s="2" t="n">
        <v>7</v>
      </c>
      <c r="J53" s="2" t="n">
        <v>10</v>
      </c>
      <c r="K53" s="2" t="n">
        <v>2</v>
      </c>
      <c r="L53" s="2" t="n">
        <v>0</v>
      </c>
      <c r="M53" s="2" t="n">
        <v>4</v>
      </c>
      <c r="N53" s="2" t="n">
        <v>6</v>
      </c>
      <c r="O53" s="0" t="n">
        <f aca="false">SUM(C53:N53)</f>
        <v>83</v>
      </c>
    </row>
    <row r="54" customFormat="false" ht="15.75" hidden="false" customHeight="false" outlineLevel="0" collapsed="false">
      <c r="B54" s="2"/>
      <c r="C54" s="2"/>
    </row>
    <row r="55" customFormat="false" ht="15.75" hidden="false" customHeight="false" outlineLevel="0" collapsed="false">
      <c r="B55" s="2" t="s">
        <v>176</v>
      </c>
      <c r="C55" s="2" t="s">
        <v>27</v>
      </c>
      <c r="D55" s="2" t="s">
        <v>28</v>
      </c>
      <c r="E55" s="2" t="s">
        <v>29</v>
      </c>
      <c r="F55" s="2" t="s">
        <v>30</v>
      </c>
      <c r="G55" s="2" t="s">
        <v>31</v>
      </c>
      <c r="H55" s="2" t="s">
        <v>32</v>
      </c>
      <c r="I55" s="2" t="s">
        <v>33</v>
      </c>
      <c r="J55" s="2" t="s">
        <v>34</v>
      </c>
      <c r="K55" s="2" t="s">
        <v>35</v>
      </c>
      <c r="L55" s="2" t="s">
        <v>36</v>
      </c>
      <c r="M55" s="2" t="s">
        <v>37</v>
      </c>
      <c r="N55" s="2" t="s">
        <v>38</v>
      </c>
      <c r="O55" s="2" t="s">
        <v>39</v>
      </c>
    </row>
    <row r="56" customFormat="false" ht="15.75" hidden="false" customHeight="false" outlineLevel="0" collapsed="false">
      <c r="B56" s="2" t="s">
        <v>39</v>
      </c>
      <c r="C56" s="2" t="n">
        <v>19</v>
      </c>
      <c r="D56" s="2" t="n">
        <v>14</v>
      </c>
      <c r="E56" s="2" t="n">
        <v>18</v>
      </c>
      <c r="F56" s="2" t="n">
        <v>14</v>
      </c>
      <c r="G56" s="2" t="n">
        <v>12</v>
      </c>
      <c r="H56" s="2" t="n">
        <v>13</v>
      </c>
      <c r="I56" s="2" t="n">
        <v>10</v>
      </c>
      <c r="J56" s="2" t="n">
        <v>14</v>
      </c>
      <c r="K56" s="2" t="n">
        <v>4</v>
      </c>
      <c r="L56" s="2" t="n">
        <v>7</v>
      </c>
      <c r="M56" s="2" t="n">
        <v>10</v>
      </c>
      <c r="N56" s="2" t="n">
        <v>10</v>
      </c>
      <c r="O56" s="0" t="n">
        <f aca="false">SUM(C56:N56)</f>
        <v>145</v>
      </c>
    </row>
    <row r="58" customFormat="false" ht="15.75" hidden="false" customHeight="false" outlineLevel="0" collapsed="false">
      <c r="A58" s="1"/>
      <c r="B58" s="1" t="s">
        <v>177</v>
      </c>
      <c r="C58" s="1" t="n">
        <v>15</v>
      </c>
      <c r="D58" s="1" t="n">
        <v>7</v>
      </c>
      <c r="E58" s="1" t="n">
        <v>7</v>
      </c>
      <c r="F58" s="1" t="n">
        <v>8</v>
      </c>
      <c r="G58" s="1" t="n">
        <v>7</v>
      </c>
      <c r="H58" s="1" t="n">
        <v>6</v>
      </c>
      <c r="I58" s="1" t="n">
        <v>7</v>
      </c>
      <c r="J58" s="1" t="n">
        <v>3</v>
      </c>
      <c r="K58" s="1" t="n">
        <v>3</v>
      </c>
      <c r="L58" s="1" t="n">
        <v>15</v>
      </c>
      <c r="M58" s="1" t="n">
        <v>14</v>
      </c>
      <c r="N58" s="1" t="n">
        <v>35</v>
      </c>
      <c r="O58" s="3" t="n">
        <f aca="false">SUM(C58:N58)</f>
        <v>127</v>
      </c>
      <c r="P58" s="1"/>
      <c r="Q58" s="1"/>
    </row>
    <row r="60" customFormat="false" ht="15.75" hidden="false" customHeight="false" outlineLevel="0" collapsed="false">
      <c r="B60" s="2" t="s">
        <v>178</v>
      </c>
      <c r="C60" s="2" t="n">
        <v>6</v>
      </c>
      <c r="D60" s="2" t="n">
        <v>10</v>
      </c>
      <c r="E60" s="2" t="n">
        <v>13</v>
      </c>
      <c r="F60" s="2" t="n">
        <v>17</v>
      </c>
      <c r="G60" s="2" t="n">
        <v>14</v>
      </c>
      <c r="H60" s="2" t="n">
        <v>10</v>
      </c>
      <c r="I60" s="2" t="n">
        <v>17</v>
      </c>
      <c r="J60" s="2" t="n">
        <v>8</v>
      </c>
      <c r="K60" s="2" t="n">
        <v>6</v>
      </c>
      <c r="L60" s="2" t="n">
        <v>8</v>
      </c>
      <c r="M60" s="2" t="n">
        <v>2</v>
      </c>
      <c r="N60" s="2" t="n">
        <v>6</v>
      </c>
      <c r="O60" s="0" t="n">
        <f aca="false">SUM(C60:N60)</f>
        <v>117</v>
      </c>
    </row>
    <row r="61" customFormat="false" ht="15.75" hidden="false" customHeight="false" outlineLevel="0" collapsed="false">
      <c r="B61" s="2" t="s">
        <v>179</v>
      </c>
      <c r="C61" s="2" t="n">
        <v>4</v>
      </c>
      <c r="D61" s="2" t="n">
        <v>3</v>
      </c>
      <c r="E61" s="2" t="n">
        <v>2</v>
      </c>
      <c r="F61" s="2" t="n">
        <v>1</v>
      </c>
      <c r="G61" s="2" t="n">
        <v>1</v>
      </c>
      <c r="I61" s="2" t="n">
        <v>1</v>
      </c>
      <c r="J61" s="2" t="n">
        <v>1</v>
      </c>
      <c r="O61" s="0" t="n">
        <f aca="false">SUM(C61:N61)</f>
        <v>13</v>
      </c>
    </row>
    <row r="62" customFormat="false" ht="15.75" hidden="false" customHeight="false" outlineLevel="0" collapsed="false">
      <c r="B62" s="2" t="s">
        <v>180</v>
      </c>
      <c r="O62" s="0" t="n">
        <f aca="false">SUM(C62:N62)</f>
        <v>0</v>
      </c>
    </row>
    <row r="63" customFormat="false" ht="15.75" hidden="false" customHeight="false" outlineLevel="0" collapsed="false">
      <c r="B63" s="2" t="s">
        <v>39</v>
      </c>
      <c r="C63" s="0" t="n">
        <f aca="false">SUM(C60:C62)</f>
        <v>10</v>
      </c>
      <c r="D63" s="0" t="n">
        <f aca="false">SUM(D60:D62)</f>
        <v>13</v>
      </c>
      <c r="E63" s="0" t="n">
        <f aca="false">SUM(E60:E62)</f>
        <v>15</v>
      </c>
      <c r="F63" s="0" t="n">
        <f aca="false">SUM(F60:F62)</f>
        <v>18</v>
      </c>
      <c r="G63" s="0" t="n">
        <f aca="false">SUM(G60:G62)</f>
        <v>15</v>
      </c>
      <c r="H63" s="0" t="n">
        <f aca="false">SUM(H60:H62)</f>
        <v>10</v>
      </c>
      <c r="I63" s="0" t="n">
        <f aca="false">SUM(I60:I62)</f>
        <v>18</v>
      </c>
      <c r="J63" s="0" t="n">
        <f aca="false">SUM(J60:J62)</f>
        <v>9</v>
      </c>
      <c r="K63" s="0" t="n">
        <f aca="false">SUM(K60:K62)</f>
        <v>6</v>
      </c>
      <c r="L63" s="0" t="n">
        <f aca="false">SUM(L60:L62)</f>
        <v>8</v>
      </c>
      <c r="M63" s="0" t="n">
        <f aca="false">SUM(M60:M62)</f>
        <v>2</v>
      </c>
      <c r="N63" s="0" t="n">
        <f aca="false">SUM(N60:N62)</f>
        <v>6</v>
      </c>
      <c r="O63" s="0" t="n">
        <f aca="false">SUM(C63:N63)</f>
        <v>130</v>
      </c>
    </row>
  </sheetData>
  <mergeCells count="35">
    <mergeCell ref="B2:D2"/>
    <mergeCell ref="B3:I3"/>
    <mergeCell ref="K3:L3"/>
    <mergeCell ref="B4:D4"/>
    <mergeCell ref="F4:I4"/>
    <mergeCell ref="K4:L4"/>
    <mergeCell ref="N4:O4"/>
    <mergeCell ref="B5:D5"/>
    <mergeCell ref="F5:I5"/>
    <mergeCell ref="N5:O5"/>
    <mergeCell ref="B6:D6"/>
    <mergeCell ref="F6:I6"/>
    <mergeCell ref="B7:D7"/>
    <mergeCell ref="F7:I7"/>
    <mergeCell ref="K7:L7"/>
    <mergeCell ref="B8:D8"/>
    <mergeCell ref="F8:I8"/>
    <mergeCell ref="B9:L9"/>
    <mergeCell ref="B10:D10"/>
    <mergeCell ref="F10:I10"/>
    <mergeCell ref="B11:L11"/>
    <mergeCell ref="B12:D12"/>
    <mergeCell ref="B13:D13"/>
    <mergeCell ref="F13:I13"/>
    <mergeCell ref="B14:D14"/>
    <mergeCell ref="F14:I14"/>
    <mergeCell ref="B15:L15"/>
    <mergeCell ref="B16:D16"/>
    <mergeCell ref="B17:D17"/>
    <mergeCell ref="F17:I17"/>
    <mergeCell ref="B18:D18"/>
    <mergeCell ref="F18:I18"/>
    <mergeCell ref="B19:D19"/>
    <mergeCell ref="F19:I19"/>
    <mergeCell ref="B25:Q25"/>
  </mergeCells>
  <conditionalFormatting sqref="K4:K8 L5:L8 K10:L10 K12:L14 K16:L19">
    <cfRule type="cellIs" priority="2" operator="lessThan" aboveAverage="0" equalAverage="0" bottom="0" percent="0" rank="0" text="" dxfId="0">
      <formula>0.35</formula>
    </cfRule>
  </conditionalFormatting>
  <conditionalFormatting sqref="K4:K8 L5:L8 K10:L10 K12:L14 K16:L19">
    <cfRule type="cellIs" priority="3" operator="between" aboveAverage="0" equalAverage="0" bottom="0" percent="0" rank="0" text="" dxfId="1">
      <formula>0.36</formula>
      <formula>0.6</formula>
    </cfRule>
  </conditionalFormatting>
  <conditionalFormatting sqref="K4:K8 L5:L8 K10:L10 K12:L14 K16:L19">
    <cfRule type="cellIs" priority="4" operator="between" aboveAverage="0" equalAverage="0" bottom="0" percent="0" rank="0" text="" dxfId="2">
      <formula>0.6</formula>
      <formula>0.85</formula>
    </cfRule>
  </conditionalFormatting>
  <conditionalFormatting sqref="K4:K8 L5:L8 K10:L10 K12:L14 K16:L19">
    <cfRule type="cellIs" priority="5" operator="between" aboveAverage="0" equalAverage="0" bottom="0" percent="0" rank="0" text="" dxfId="3">
      <formula>0.86</formula>
      <formula>0.99</formula>
    </cfRule>
  </conditionalFormatting>
  <conditionalFormatting sqref="K4:K8 L5:L8 K10:L10 K12:L14 K16:L19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B2:Q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3.13"/>
    <col collapsed="false" customWidth="true" hidden="false" outlineLevel="0" max="3" min="3" style="0" width="9.88"/>
    <col collapsed="false" customWidth="true" hidden="false" outlineLevel="0" max="4" min="4" style="0" width="9.38"/>
    <col collapsed="false" customWidth="true" hidden="false" outlineLevel="0" max="12" min="5" style="0" width="9.51"/>
    <col collapsed="false" customWidth="true" hidden="false" outlineLevel="0" max="16" min="16" style="0" width="8.25"/>
  </cols>
  <sheetData>
    <row r="2" customFormat="false" ht="15.75" hidden="false" customHeight="false" outlineLevel="0" collapsed="false">
      <c r="B2" s="48" t="s">
        <v>84</v>
      </c>
      <c r="C2" s="48"/>
      <c r="D2" s="48"/>
      <c r="E2" s="49" t="n">
        <v>2019</v>
      </c>
      <c r="F2" s="49" t="s">
        <v>98</v>
      </c>
      <c r="G2" s="49" t="s">
        <v>99</v>
      </c>
      <c r="H2" s="49" t="s">
        <v>100</v>
      </c>
      <c r="I2" s="49" t="s">
        <v>100</v>
      </c>
      <c r="J2" s="49" t="s">
        <v>9</v>
      </c>
      <c r="K2" s="49" t="s">
        <v>11</v>
      </c>
      <c r="L2" s="49" t="s">
        <v>101</v>
      </c>
    </row>
    <row r="3" customFormat="false" ht="15.75" hidden="false" customHeight="false" outlineLevel="0" collapsed="false">
      <c r="B3" s="60" t="s">
        <v>12</v>
      </c>
      <c r="C3" s="60"/>
      <c r="D3" s="60"/>
      <c r="E3" s="60"/>
      <c r="F3" s="60"/>
      <c r="G3" s="60"/>
      <c r="H3" s="60"/>
      <c r="I3" s="60"/>
      <c r="J3" s="115" t="n">
        <v>44196</v>
      </c>
      <c r="K3" s="53"/>
      <c r="L3" s="53"/>
    </row>
    <row r="4" customFormat="false" ht="16.15" hidden="false" customHeight="false" outlineLevel="0" collapsed="false">
      <c r="B4" s="54" t="s">
        <v>181</v>
      </c>
      <c r="C4" s="54"/>
      <c r="D4" s="54"/>
      <c r="E4" s="116" t="n">
        <f aca="false">(64113.19-9544.6)/12</f>
        <v>4547.3825</v>
      </c>
      <c r="F4" s="93" t="s">
        <v>104</v>
      </c>
      <c r="G4" s="93"/>
      <c r="H4" s="93"/>
      <c r="I4" s="93"/>
      <c r="J4" s="55" t="n">
        <f aca="false">P49</f>
        <v>5137.1075</v>
      </c>
      <c r="K4" s="117" t="n">
        <f aca="false">4000/J4</f>
        <v>0.7786482958</v>
      </c>
      <c r="L4" s="117"/>
    </row>
    <row r="5" customFormat="false" ht="16.15" hidden="false" customHeight="false" outlineLevel="0" collapsed="false">
      <c r="B5" s="54" t="s">
        <v>182</v>
      </c>
      <c r="C5" s="54"/>
      <c r="D5" s="54"/>
      <c r="E5" s="54" t="n">
        <v>6826</v>
      </c>
      <c r="F5" s="93" t="s">
        <v>27</v>
      </c>
      <c r="G5" s="100"/>
      <c r="H5" s="54"/>
      <c r="I5" s="100"/>
      <c r="J5" s="54" t="n">
        <v>6826</v>
      </c>
      <c r="K5" s="117" t="n">
        <f aca="false">J5/(6826)</f>
        <v>1</v>
      </c>
      <c r="L5" s="117" t="n">
        <f aca="false">J5/(MONTH(DATEVALUE(J3))*((6826)/MONTH(DATEVALUE(J3))))</f>
        <v>1</v>
      </c>
    </row>
    <row r="6" customFormat="false" ht="16.15" hidden="false" customHeight="false" outlineLevel="0" collapsed="false">
      <c r="B6" s="54" t="s">
        <v>183</v>
      </c>
      <c r="C6" s="54"/>
      <c r="D6" s="54"/>
      <c r="E6" s="54" t="n">
        <f aca="false">'2019'!J7</f>
        <v>232043</v>
      </c>
      <c r="F6" s="93" t="s">
        <v>104</v>
      </c>
      <c r="G6" s="93"/>
      <c r="H6" s="93"/>
      <c r="I6" s="93"/>
      <c r="J6" s="54" t="n">
        <v>336402</v>
      </c>
      <c r="K6" s="118" t="n">
        <f aca="false">J6/300000</f>
        <v>1.12134</v>
      </c>
      <c r="L6" s="117" t="n">
        <f aca="false">(J6-E6)/(MONTH(DATEVALUE(J3))*((300000-E6)/12))</f>
        <v>1.535662257</v>
      </c>
    </row>
    <row r="7" customFormat="false" ht="16.15" hidden="false" customHeight="false" outlineLevel="0" collapsed="false">
      <c r="B7" s="54" t="s">
        <v>106</v>
      </c>
      <c r="C7" s="54"/>
      <c r="D7" s="54"/>
      <c r="E7" s="54" t="n">
        <f aca="false">'2019'!J8</f>
        <v>135005.46</v>
      </c>
      <c r="F7" s="93" t="s">
        <v>104</v>
      </c>
      <c r="G7" s="93"/>
      <c r="H7" s="93"/>
      <c r="I7" s="93"/>
      <c r="J7" s="55" t="n">
        <f aca="false">O50</f>
        <v>171628.65</v>
      </c>
      <c r="K7" s="117" t="n">
        <f aca="false">J7/(E7*1.1)</f>
        <v>1.155701743</v>
      </c>
      <c r="L7" s="117" t="n">
        <f aca="false">(J7)/(MONTH(DATEVALUE(J3))*((1.1*E7)/12))</f>
        <v>1.155701743</v>
      </c>
      <c r="N7" s="0" t="n">
        <f aca="false">J7*0.07/12</f>
        <v>1001.167125</v>
      </c>
    </row>
    <row r="8" customFormat="false" ht="16.15" hidden="false" customHeight="false" outlineLevel="0" collapsed="false">
      <c r="B8" s="54" t="s">
        <v>184</v>
      </c>
      <c r="C8" s="54"/>
      <c r="D8" s="54"/>
      <c r="E8" s="54" t="n">
        <f aca="false">'2019'!J10</f>
        <v>4</v>
      </c>
      <c r="F8" s="93" t="s">
        <v>104</v>
      </c>
      <c r="G8" s="93"/>
      <c r="H8" s="93"/>
      <c r="I8" s="93"/>
      <c r="J8" s="54" t="n">
        <v>6</v>
      </c>
      <c r="K8" s="117" t="n">
        <f aca="false">J8/3</f>
        <v>2</v>
      </c>
      <c r="L8" s="117" t="n">
        <f aca="false">J8/(MONTH(DATEVALUE(J3))*(3/12))</f>
        <v>2</v>
      </c>
    </row>
    <row r="9" customFormat="false" ht="15.75" hidden="false" customHeight="false" outlineLevel="0" collapsed="false">
      <c r="B9" s="60" t="s">
        <v>185</v>
      </c>
      <c r="C9" s="60"/>
      <c r="D9" s="60"/>
      <c r="E9" s="60"/>
      <c r="F9" s="60"/>
      <c r="G9" s="60"/>
      <c r="H9" s="60"/>
      <c r="I9" s="60"/>
      <c r="J9" s="60"/>
      <c r="K9" s="60"/>
      <c r="L9" s="60"/>
    </row>
    <row r="10" customFormat="false" ht="16.15" hidden="false" customHeight="false" outlineLevel="0" collapsed="false">
      <c r="B10" s="54" t="s">
        <v>160</v>
      </c>
      <c r="C10" s="54"/>
      <c r="D10" s="54"/>
      <c r="E10" s="54" t="n">
        <v>1</v>
      </c>
      <c r="F10" s="93" t="s">
        <v>104</v>
      </c>
      <c r="G10" s="93"/>
      <c r="H10" s="93"/>
      <c r="I10" s="93"/>
      <c r="J10" s="54" t="n">
        <v>7</v>
      </c>
      <c r="K10" s="117" t="n">
        <f aca="false">J10/4</f>
        <v>1.75</v>
      </c>
      <c r="L10" s="117" t="n">
        <f aca="false">J10/(MONTH(DATEVALUE(J3))*(4/12))</f>
        <v>1.75</v>
      </c>
      <c r="N10" s="2" t="s">
        <v>134</v>
      </c>
    </row>
    <row r="11" customFormat="false" ht="15.75" hidden="false" customHeight="false" outlineLevel="0" collapsed="false">
      <c r="B11" s="60" t="s">
        <v>111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N11" s="109" t="s">
        <v>186</v>
      </c>
      <c r="O11" s="109"/>
      <c r="P11" s="2" t="s">
        <v>187</v>
      </c>
    </row>
    <row r="12" customFormat="false" ht="16.15" hidden="false" customHeight="false" outlineLevel="0" collapsed="false">
      <c r="B12" s="54" t="s">
        <v>188</v>
      </c>
      <c r="C12" s="54"/>
      <c r="D12" s="54"/>
      <c r="E12" s="54" t="n">
        <f aca="false">'2019'!J15</f>
        <v>125</v>
      </c>
      <c r="F12" s="93" t="s">
        <v>104</v>
      </c>
      <c r="G12" s="93"/>
      <c r="H12" s="93"/>
      <c r="I12" s="93"/>
      <c r="J12" s="54" t="n">
        <f aca="false">7+8+6+9+8+8+9+7+10+7+8+5</f>
        <v>92</v>
      </c>
      <c r="K12" s="117" t="n">
        <f aca="false">J12/100</f>
        <v>0.92</v>
      </c>
      <c r="L12" s="117" t="n">
        <f aca="false">J12/(MONTH(DATEVALUE(J3))*(100/12))</f>
        <v>0.92</v>
      </c>
      <c r="N12" s="109" t="s">
        <v>189</v>
      </c>
      <c r="O12" s="109"/>
      <c r="P12" s="2" t="s">
        <v>190</v>
      </c>
    </row>
    <row r="13" customFormat="false" ht="16.15" hidden="false" customHeight="false" outlineLevel="0" collapsed="false">
      <c r="B13" s="54" t="s">
        <v>191</v>
      </c>
      <c r="C13" s="54"/>
      <c r="D13" s="54"/>
      <c r="E13" s="54" t="n">
        <f aca="false">'2019'!J16</f>
        <v>1587</v>
      </c>
      <c r="F13" s="100"/>
      <c r="G13" s="100"/>
      <c r="H13" s="93" t="s">
        <v>35</v>
      </c>
      <c r="I13" s="100"/>
      <c r="J13" s="96" t="n">
        <v>3313</v>
      </c>
      <c r="K13" s="117" t="n">
        <f aca="false">J13/2500</f>
        <v>1.3252</v>
      </c>
      <c r="L13" s="117" t="n">
        <f aca="false">(J13-E13)/(MONTH(DATEVALUE(J3))*((2500-E13)/9))</f>
        <v>1.417853231</v>
      </c>
      <c r="N13" s="2" t="s">
        <v>192</v>
      </c>
      <c r="P13" s="2" t="s">
        <v>193</v>
      </c>
    </row>
    <row r="14" customFormat="false" ht="16.15" hidden="false" customHeight="false" outlineLevel="0" collapsed="false">
      <c r="B14" s="54" t="s">
        <v>194</v>
      </c>
      <c r="C14" s="54"/>
      <c r="D14" s="54"/>
      <c r="E14" s="96" t="n">
        <v>6</v>
      </c>
      <c r="F14" s="93" t="s">
        <v>104</v>
      </c>
      <c r="G14" s="93"/>
      <c r="H14" s="93"/>
      <c r="I14" s="93"/>
      <c r="J14" s="96" t="n">
        <v>12</v>
      </c>
      <c r="K14" s="117" t="n">
        <f aca="false">J14/12</f>
        <v>1</v>
      </c>
      <c r="L14" s="117" t="n">
        <f aca="false">J14/(MONTH(DATEVALUE($J$3))*(12/12))</f>
        <v>1</v>
      </c>
      <c r="N14" s="2" t="s">
        <v>195</v>
      </c>
      <c r="P14" s="2" t="s">
        <v>196</v>
      </c>
    </row>
    <row r="15" customFormat="false" ht="16.15" hidden="false" customHeight="false" outlineLevel="0" collapsed="false">
      <c r="B15" s="54" t="s">
        <v>197</v>
      </c>
      <c r="C15" s="54"/>
      <c r="D15" s="54"/>
      <c r="E15" s="96" t="n">
        <v>30</v>
      </c>
      <c r="F15" s="93" t="s">
        <v>104</v>
      </c>
      <c r="G15" s="93"/>
      <c r="H15" s="93"/>
      <c r="I15" s="93"/>
      <c r="J15" s="96" t="n">
        <f aca="false">O64</f>
        <v>90</v>
      </c>
      <c r="K15" s="117" t="n">
        <f aca="false">J15/36</f>
        <v>2.5</v>
      </c>
      <c r="L15" s="117" t="n">
        <f aca="false">J15/(MONTH(DATEVALUE($J$3))*(36/12))</f>
        <v>2.5</v>
      </c>
      <c r="N15" s="2" t="s">
        <v>198</v>
      </c>
      <c r="P15" s="2" t="s">
        <v>199</v>
      </c>
    </row>
    <row r="16" customFormat="false" ht="16.15" hidden="false" customHeight="false" outlineLevel="0" collapsed="false">
      <c r="B16" s="54" t="s">
        <v>200</v>
      </c>
      <c r="C16" s="54"/>
      <c r="D16" s="54"/>
      <c r="E16" s="96" t="n">
        <v>1593</v>
      </c>
      <c r="F16" s="93" t="s">
        <v>104</v>
      </c>
      <c r="G16" s="93"/>
      <c r="H16" s="93"/>
      <c r="I16" s="93"/>
      <c r="J16" s="62" t="n">
        <f aca="false">O51</f>
        <v>20367.93</v>
      </c>
      <c r="K16" s="117" t="n">
        <f aca="false">J16/2000</f>
        <v>10.183965</v>
      </c>
      <c r="L16" s="117" t="n">
        <f aca="false">J16/(MONTH(DATEVALUE($J$3))*(2000/12))</f>
        <v>10.183965</v>
      </c>
      <c r="N16" s="2" t="s">
        <v>201</v>
      </c>
      <c r="P16" s="2" t="s">
        <v>202</v>
      </c>
    </row>
    <row r="17" customFormat="false" ht="15.75" hidden="false" customHeight="false" outlineLevel="0" collapsed="false">
      <c r="B17" s="60" t="s">
        <v>19</v>
      </c>
      <c r="C17" s="60"/>
      <c r="D17" s="60"/>
      <c r="E17" s="60"/>
      <c r="F17" s="60"/>
      <c r="G17" s="60"/>
      <c r="H17" s="60"/>
      <c r="I17" s="60"/>
      <c r="J17" s="60"/>
      <c r="K17" s="60"/>
      <c r="L17" s="60"/>
    </row>
    <row r="18" customFormat="false" ht="16.15" hidden="false" customHeight="false" outlineLevel="0" collapsed="false">
      <c r="B18" s="54" t="s">
        <v>170</v>
      </c>
      <c r="C18" s="54"/>
      <c r="D18" s="54"/>
      <c r="E18" s="96" t="n">
        <f aca="false">'2019'!J20</f>
        <v>304</v>
      </c>
      <c r="F18" s="93" t="s">
        <v>104</v>
      </c>
      <c r="G18" s="93"/>
      <c r="H18" s="93"/>
      <c r="I18" s="93"/>
      <c r="J18" s="96" t="n">
        <f aca="false">O55</f>
        <v>278</v>
      </c>
      <c r="K18" s="117" t="n">
        <f aca="false">J18/250</f>
        <v>1.112</v>
      </c>
      <c r="L18" s="117" t="e">
        <f aca="false">J18/(MONTH(DATEVALUE(J3))*(250/12))</f>
        <v>#VALUE!</v>
      </c>
    </row>
    <row r="19" customFormat="false" ht="16.15" hidden="false" customHeight="false" outlineLevel="0" collapsed="false">
      <c r="B19" s="54" t="s">
        <v>203</v>
      </c>
      <c r="C19" s="54"/>
      <c r="D19" s="54"/>
      <c r="E19" s="96" t="n">
        <v>30</v>
      </c>
      <c r="F19" s="93" t="s">
        <v>104</v>
      </c>
      <c r="G19" s="93"/>
      <c r="H19" s="93"/>
      <c r="I19" s="93"/>
      <c r="J19" s="96" t="n">
        <f aca="false">O58</f>
        <v>5</v>
      </c>
      <c r="K19" s="117" t="n">
        <f aca="false">J19/100</f>
        <v>0.05</v>
      </c>
      <c r="L19" s="117" t="n">
        <f aca="false">J19/(MONTH(DATEVALUE(J3))*(100/12))</f>
        <v>0.05</v>
      </c>
    </row>
    <row r="20" customFormat="false" ht="16.15" hidden="false" customHeight="false" outlineLevel="0" collapsed="false">
      <c r="B20" s="54" t="s">
        <v>204</v>
      </c>
      <c r="C20" s="54"/>
      <c r="D20" s="54"/>
      <c r="E20" s="96" t="n">
        <v>82</v>
      </c>
      <c r="F20" s="100"/>
      <c r="G20" s="100"/>
      <c r="H20" s="93" t="s">
        <v>33</v>
      </c>
      <c r="I20" s="100"/>
      <c r="J20" s="96" t="n">
        <v>77.8</v>
      </c>
      <c r="K20" s="117" t="n">
        <f aca="false">77/J20</f>
        <v>0.9897172237</v>
      </c>
      <c r="L20" s="117" t="n">
        <f aca="false">K20</f>
        <v>0.9897172237</v>
      </c>
    </row>
    <row r="25" customFormat="false" ht="22.05" hidden="false" customHeight="false" outlineLevel="0" collapsed="false">
      <c r="B25" s="81" t="s">
        <v>26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</row>
    <row r="26" customFormat="false" ht="15.75" hidden="false" customHeight="false" outlineLevel="0" collapsed="false">
      <c r="B26" s="1"/>
      <c r="C26" s="65" t="s">
        <v>27</v>
      </c>
      <c r="D26" s="65" t="s">
        <v>28</v>
      </c>
      <c r="E26" s="65" t="s">
        <v>29</v>
      </c>
      <c r="F26" s="65" t="s">
        <v>30</v>
      </c>
      <c r="G26" s="65" t="s">
        <v>31</v>
      </c>
      <c r="H26" s="65" t="s">
        <v>32</v>
      </c>
      <c r="I26" s="65" t="s">
        <v>33</v>
      </c>
      <c r="J26" s="65" t="s">
        <v>34</v>
      </c>
      <c r="K26" s="65" t="s">
        <v>35</v>
      </c>
      <c r="L26" s="65" t="s">
        <v>36</v>
      </c>
      <c r="M26" s="65" t="s">
        <v>37</v>
      </c>
      <c r="N26" s="65" t="s">
        <v>38</v>
      </c>
      <c r="O26" s="65" t="s">
        <v>39</v>
      </c>
      <c r="P26" s="66" t="s">
        <v>40</v>
      </c>
      <c r="Q26" s="66" t="s">
        <v>41</v>
      </c>
    </row>
    <row r="27" customFormat="false" ht="15.75" hidden="false" customHeight="false" outlineLevel="0" collapsed="false">
      <c r="B27" s="67" t="s">
        <v>4</v>
      </c>
      <c r="C27" s="74" t="n">
        <v>231163</v>
      </c>
      <c r="D27" s="74" t="n">
        <v>254658</v>
      </c>
      <c r="E27" s="74" t="n">
        <v>274541</v>
      </c>
      <c r="F27" s="74" t="n">
        <v>286479</v>
      </c>
      <c r="G27" s="74" t="n">
        <v>284637</v>
      </c>
      <c r="H27" s="74" t="n">
        <v>285619</v>
      </c>
      <c r="I27" s="74" t="n">
        <v>300882</v>
      </c>
      <c r="J27" s="74" t="n">
        <v>311346</v>
      </c>
      <c r="K27" s="74" t="n">
        <v>312219</v>
      </c>
      <c r="L27" s="74" t="n">
        <v>321956</v>
      </c>
      <c r="M27" s="2" t="n">
        <v>332041</v>
      </c>
      <c r="N27" s="2" t="n">
        <v>338804</v>
      </c>
      <c r="O27" s="2" t="n">
        <f aca="false">IFERROR(LOOKUP(9^9,C27:N27),"")</f>
        <v>338804</v>
      </c>
      <c r="P27" s="2" t="s">
        <v>42</v>
      </c>
      <c r="Q27" s="2" t="s">
        <v>42</v>
      </c>
    </row>
    <row r="28" customFormat="false" ht="15.75" hidden="false" customHeight="false" outlineLevel="0" collapsed="false">
      <c r="B28" s="69" t="s">
        <v>43</v>
      </c>
      <c r="C28" s="69"/>
      <c r="D28" s="104" t="n">
        <f aca="false">IF(D27&gt;0,D27-C27,"")</f>
        <v>23495</v>
      </c>
      <c r="E28" s="104" t="n">
        <f aca="false">IF(E27&gt;0,E27-D27,"")</f>
        <v>19883</v>
      </c>
      <c r="F28" s="104" t="n">
        <f aca="false">IF(F27&gt;0,F27-E27,"")</f>
        <v>11938</v>
      </c>
      <c r="G28" s="104" t="n">
        <f aca="false">IF(G27&gt;0,G27-F27,"")</f>
        <v>-1842</v>
      </c>
      <c r="H28" s="104" t="n">
        <f aca="false">IF(H27&gt;0,H27-G27,"")</f>
        <v>982</v>
      </c>
      <c r="I28" s="104" t="n">
        <f aca="false">IF(I27&gt;0,I27-H27,"")</f>
        <v>15263</v>
      </c>
      <c r="J28" s="104" t="n">
        <f aca="false">IF(J27&gt;0,J27-I27,"")</f>
        <v>10464</v>
      </c>
      <c r="K28" s="104" t="n">
        <f aca="false">IF(K27&gt;0,K27-J27,"")</f>
        <v>873</v>
      </c>
      <c r="L28" s="104" t="n">
        <f aca="false">IF(L27&gt;0,L27-K27,"")</f>
        <v>9737</v>
      </c>
      <c r="M28" s="104" t="n">
        <f aca="false">IF(M27&gt;0,M27-L27,"")</f>
        <v>10085</v>
      </c>
      <c r="N28" s="69" t="n">
        <f aca="false">IF(N27&gt;0,N27-M27,"")</f>
        <v>6763</v>
      </c>
      <c r="O28" s="71" t="n">
        <f aca="false">SUM(C28:N28)</f>
        <v>107641</v>
      </c>
      <c r="P28" s="71" t="n">
        <f aca="false">AVERAGE(C28:N28)</f>
        <v>9785.54545454545</v>
      </c>
      <c r="Q28" s="71" t="n">
        <f aca="false">MEDIAN(C28:N28)</f>
        <v>10085</v>
      </c>
    </row>
    <row r="29" customFormat="false" ht="15.75" hidden="false" customHeight="false" outlineLevel="0" collapsed="false">
      <c r="B29" s="69" t="s">
        <v>44</v>
      </c>
      <c r="C29" s="69"/>
      <c r="D29" s="72" t="n">
        <f aca="false">IF(D27&gt;0,(D27-C27)/C27,"")</f>
        <v>0.101638237953306</v>
      </c>
      <c r="E29" s="72" t="n">
        <f aca="false">IF(E27&gt;0,(E27-D27)/D27,"")</f>
        <v>0.0780772644095218</v>
      </c>
      <c r="F29" s="72" t="n">
        <f aca="false">IF(F27&gt;0,(F27-E27)/E27,"")</f>
        <v>0.0434834869837292</v>
      </c>
      <c r="G29" s="72" t="n">
        <f aca="false">IF(G27&gt;0,(G27-F27)/F27,"")</f>
        <v>-0.00642979066528437</v>
      </c>
      <c r="H29" s="72" t="n">
        <f aca="false">IF(H27&gt;0,(H27-G27)/G27,"")</f>
        <v>0.00345000825612974</v>
      </c>
      <c r="I29" s="72" t="n">
        <f aca="false">IF(I27&gt;0,(I27-H27)/H27,"")</f>
        <v>0.0534383216802804</v>
      </c>
      <c r="J29" s="72" t="n">
        <f aca="false">IF(J27&gt;0,(J27-I27)/I27,"")</f>
        <v>0.0347777534049893</v>
      </c>
      <c r="K29" s="72" t="n">
        <f aca="false">IF(K27&gt;0,(K27-J27)/J27,"")</f>
        <v>0.00280395444296699</v>
      </c>
      <c r="L29" s="72" t="n">
        <f aca="false">IF(L27&gt;0,(L27-K27)/K27,"")</f>
        <v>0.0311864428494102</v>
      </c>
      <c r="M29" s="72" t="n">
        <f aca="false">IF(M27&gt;0,(M27-L27)/L27,"")</f>
        <v>0.031324156095864</v>
      </c>
      <c r="N29" s="72" t="n">
        <f aca="false">IF(N27&gt;0,(N27-M27)/M27,"")</f>
        <v>0.0203679666065335</v>
      </c>
      <c r="O29" s="69" t="s">
        <v>42</v>
      </c>
      <c r="P29" s="72" t="n">
        <f aca="false">AVERAGE(C29:N29)</f>
        <v>0.0358288910924951</v>
      </c>
      <c r="Q29" s="72" t="n">
        <f aca="false">MEDIAN(C29:N29)</f>
        <v>0.031324156095864</v>
      </c>
    </row>
    <row r="30" customFormat="false" ht="15.75" hidden="false" customHeight="false" outlineLevel="0" collapsed="false">
      <c r="B30" s="67" t="s">
        <v>5</v>
      </c>
      <c r="C30" s="2" t="n">
        <v>15.61</v>
      </c>
      <c r="D30" s="2" t="n">
        <v>16.96</v>
      </c>
      <c r="E30" s="2" t="n">
        <v>19.14</v>
      </c>
      <c r="F30" s="2" t="n">
        <v>19.62</v>
      </c>
      <c r="G30" s="2" t="n">
        <v>19.84</v>
      </c>
      <c r="H30" s="2" t="n">
        <v>16.6</v>
      </c>
      <c r="I30" s="2" t="n">
        <v>16.74</v>
      </c>
      <c r="J30" s="74" t="n">
        <v>17.44</v>
      </c>
      <c r="K30" s="74" t="n">
        <v>16.62</v>
      </c>
      <c r="L30" s="74" t="n">
        <v>16.55</v>
      </c>
      <c r="M30" s="2" t="n">
        <v>16.79</v>
      </c>
      <c r="N30" s="2" t="n">
        <v>8.03</v>
      </c>
      <c r="O30" s="3" t="n">
        <f aca="false">IFERROR(LOOKUP(9^9,C30:N30),"")</f>
        <v>8.03</v>
      </c>
      <c r="P30" s="3" t="n">
        <f aca="false">AVERAGE(C30:N30)</f>
        <v>16.6616666666667</v>
      </c>
      <c r="Q30" s="3" t="n">
        <f aca="false">MEDIAN(C30:N30)</f>
        <v>16.765</v>
      </c>
    </row>
    <row r="31" customFormat="false" ht="15.75" hidden="false" customHeight="false" outlineLevel="0" collapsed="false">
      <c r="B31" s="69" t="s">
        <v>46</v>
      </c>
      <c r="C31" s="75"/>
      <c r="D31" s="75" t="n">
        <f aca="false">IF(D30&gt;0,D30-C30,"")</f>
        <v>1.35</v>
      </c>
      <c r="E31" s="75" t="n">
        <f aca="false">IF(E30&gt;0,E30-D30,"")</f>
        <v>2.18</v>
      </c>
      <c r="F31" s="75" t="n">
        <f aca="false">IF(F30&gt;0,F30-E30,"")</f>
        <v>0.48</v>
      </c>
      <c r="G31" s="75" t="n">
        <f aca="false">IF(G30&gt;0,G30-F30,"")</f>
        <v>0.219999999999999</v>
      </c>
      <c r="H31" s="75" t="n">
        <f aca="false">IF(H30&gt;0,H30-G30,"")</f>
        <v>-3.24</v>
      </c>
      <c r="I31" s="75" t="n">
        <f aca="false">IF(I30&gt;0,I30-H30,"")</f>
        <v>0.139999999999997</v>
      </c>
      <c r="J31" s="71" t="n">
        <f aca="false">IF(J30&gt;0,J30-I30,"")</f>
        <v>0.700000000000003</v>
      </c>
      <c r="K31" s="71" t="n">
        <f aca="false">IF(K30&gt;0,K30-J30,"")</f>
        <v>-0.82</v>
      </c>
      <c r="L31" s="71" t="n">
        <f aca="false">IF(L30&gt;0,L30-K30,"")</f>
        <v>-0.0700000000000003</v>
      </c>
      <c r="M31" s="71" t="n">
        <f aca="false">IF(M30&gt;0,M30-L30,"")</f>
        <v>0.239999999999998</v>
      </c>
      <c r="N31" s="75" t="n">
        <f aca="false">IF(N30&gt;0,N30-M30,"")</f>
        <v>-8.76</v>
      </c>
      <c r="O31" s="69" t="n">
        <f aca="false">SUM(C31:N31)</f>
        <v>-7.58</v>
      </c>
      <c r="P31" s="69" t="n">
        <f aca="false">AVERAGE(C31:N31)</f>
        <v>-0.689090909090909</v>
      </c>
      <c r="Q31" s="69" t="n">
        <f aca="false">MEDIAN(C31:N31)</f>
        <v>0.219999999999999</v>
      </c>
    </row>
    <row r="32" customFormat="false" ht="15.75" hidden="false" customHeight="false" outlineLevel="0" collapsed="false">
      <c r="B32" s="69" t="s">
        <v>44</v>
      </c>
      <c r="C32" s="75"/>
      <c r="D32" s="76" t="n">
        <f aca="false">IF(D30&gt;0,(D30-C30)/C30,"")</f>
        <v>0.0864830237027547</v>
      </c>
      <c r="E32" s="76" t="n">
        <f aca="false">IF(E30&gt;0,(E30-D30)/D30,"")</f>
        <v>0.128537735849057</v>
      </c>
      <c r="F32" s="76" t="n">
        <f aca="false">IF(F30&gt;0,(F30-E30)/E30,"")</f>
        <v>0.0250783699059561</v>
      </c>
      <c r="G32" s="76" t="n">
        <f aca="false">IF(G30&gt;0,(G30-F30)/F30,"")</f>
        <v>0.0112130479102956</v>
      </c>
      <c r="H32" s="76" t="n">
        <f aca="false">IF(H30&gt;0,(H30-G30)/G30,"")</f>
        <v>-0.163306451612903</v>
      </c>
      <c r="I32" s="76" t="n">
        <f aca="false">IF(I30&gt;0,(I30-H30)/H30,"")</f>
        <v>0.00843373493975886</v>
      </c>
      <c r="J32" s="76" t="n">
        <f aca="false">IF(J30&gt;0,(J30-I30)/I30,"")</f>
        <v>0.0418160095579452</v>
      </c>
      <c r="K32" s="76" t="n">
        <f aca="false">IF(K30&gt;0,(K30-J30)/J30,"")</f>
        <v>-0.0470183486238532</v>
      </c>
      <c r="L32" s="76" t="n">
        <f aca="false">IF(L30&gt;0,(L30-K30)/K30,"")</f>
        <v>-0.0042117930204573</v>
      </c>
      <c r="M32" s="76" t="n">
        <f aca="false">IF(M30&gt;0,(M30-L30)/L30,"")</f>
        <v>0.014501510574018</v>
      </c>
      <c r="N32" s="76" t="n">
        <f aca="false">IF(N30&gt;0,(N30-M30)/M30,"")</f>
        <v>-0.521739130434783</v>
      </c>
      <c r="O32" s="69" t="s">
        <v>42</v>
      </c>
      <c r="P32" s="72" t="n">
        <f aca="false">AVERAGE(C32:N32)</f>
        <v>-0.0382011173865647</v>
      </c>
      <c r="Q32" s="72" t="n">
        <f aca="false">MEDIAN(C32:N32)</f>
        <v>0.0112130479102956</v>
      </c>
    </row>
    <row r="33" customFormat="false" ht="15.75" hidden="false" customHeight="false" outlineLevel="0" collapsed="false">
      <c r="B33" s="2" t="s">
        <v>1</v>
      </c>
      <c r="C33" s="2" t="n">
        <v>5587</v>
      </c>
      <c r="D33" s="2" t="n">
        <v>3816</v>
      </c>
      <c r="E33" s="2" t="n">
        <v>3927</v>
      </c>
      <c r="F33" s="2" t="n">
        <v>3203</v>
      </c>
      <c r="G33" s="2" t="n">
        <v>3951</v>
      </c>
      <c r="H33" s="2" t="n">
        <v>4039</v>
      </c>
      <c r="I33" s="74" t="n">
        <v>3643</v>
      </c>
      <c r="J33" s="74" t="n">
        <v>6664</v>
      </c>
      <c r="K33" s="74" t="n">
        <v>6123</v>
      </c>
      <c r="L33" s="74" t="n">
        <v>4650</v>
      </c>
      <c r="M33" s="74" t="n">
        <v>5975</v>
      </c>
      <c r="N33" s="2" t="n">
        <v>6358</v>
      </c>
      <c r="O33" s="0" t="n">
        <f aca="false">SUM(C33:N33)</f>
        <v>57936</v>
      </c>
      <c r="P33" s="0" t="n">
        <f aca="false">AVERAGE(C33:N33)</f>
        <v>4828</v>
      </c>
      <c r="Q33" s="0" t="n">
        <f aca="false">MEDIAN(C33:N33)</f>
        <v>4344.5</v>
      </c>
    </row>
    <row r="34" customFormat="false" ht="15.75" hidden="false" customHeight="false" outlineLevel="0" collapsed="false">
      <c r="B34" s="69" t="s">
        <v>44</v>
      </c>
      <c r="C34" s="80"/>
      <c r="D34" s="78" t="n">
        <f aca="false">IF(D33&gt;0,(D33-C33)/C33,"")</f>
        <v>-0.316985860032218</v>
      </c>
      <c r="E34" s="78" t="n">
        <f aca="false">IF(E33&gt;0,(E33-D33)/D33,"")</f>
        <v>0.0290880503144654</v>
      </c>
      <c r="F34" s="78" t="n">
        <f aca="false">IF(F33&gt;0,(F33-E33)/E33,"")</f>
        <v>-0.18436465495289</v>
      </c>
      <c r="G34" s="78" t="n">
        <f aca="false">IF(G33&gt;0,(G33-F33)/F33,"")</f>
        <v>0.233531064626912</v>
      </c>
      <c r="H34" s="78" t="n">
        <f aca="false">IF(H33&gt;0,(H33-G33)/G33,"")</f>
        <v>0.0222728423184004</v>
      </c>
      <c r="I34" s="78" t="n">
        <f aca="false">IF(I33&gt;0,(I33-H33)/H33,"")</f>
        <v>-0.0980440703144343</v>
      </c>
      <c r="J34" s="78" t="n">
        <f aca="false">IF(J33&gt;0,(J33-I33)/I33,"")</f>
        <v>0.829261597584408</v>
      </c>
      <c r="K34" s="78" t="n">
        <f aca="false">IF(K33&gt;0,(K33-J33)/J33,"")</f>
        <v>-0.0811824729891957</v>
      </c>
      <c r="L34" s="78" t="n">
        <f aca="false">IF(L33&gt;0,(L33-K33)/K33,"")</f>
        <v>-0.240568348848604</v>
      </c>
      <c r="M34" s="78" t="n">
        <f aca="false">IF(M33&gt;0,(M33-L33)/L33,"")</f>
        <v>0.28494623655914</v>
      </c>
      <c r="N34" s="78" t="n">
        <f aca="false">IF(N33&gt;0,(N33-M33)/M33,"")</f>
        <v>0.0641004184100418</v>
      </c>
      <c r="O34" s="78" t="n">
        <f aca="false">SUM(C34:N34)</f>
        <v>0.542054802676027</v>
      </c>
      <c r="P34" s="78" t="n">
        <f aca="false">AVERAGE(C34:N34)</f>
        <v>0.0492777093341842</v>
      </c>
      <c r="Q34" s="78" t="n">
        <f aca="false">MEDIAN(C34:N34)</f>
        <v>0.0222728423184004</v>
      </c>
    </row>
    <row r="35" customFormat="false" ht="15.75" hidden="false" customHeight="false" outlineLevel="0" collapsed="false">
      <c r="B35" s="2" t="s">
        <v>2</v>
      </c>
      <c r="C35" s="113" t="n">
        <v>6386</v>
      </c>
      <c r="D35" s="2" t="n">
        <v>4235</v>
      </c>
      <c r="E35" s="2" t="n">
        <v>6606</v>
      </c>
      <c r="F35" s="2" t="n">
        <v>5742</v>
      </c>
      <c r="G35" s="2" t="n">
        <v>15013</v>
      </c>
      <c r="H35" s="2" t="n">
        <v>11168</v>
      </c>
      <c r="I35" s="2" t="n">
        <v>5840</v>
      </c>
      <c r="J35" s="2" t="n">
        <v>8922</v>
      </c>
      <c r="K35" s="2" t="n">
        <v>8590</v>
      </c>
      <c r="L35" s="2" t="n">
        <v>7047</v>
      </c>
      <c r="M35" s="2" t="n">
        <v>8772</v>
      </c>
      <c r="N35" s="2" t="n">
        <v>7954</v>
      </c>
      <c r="O35" s="0" t="n">
        <f aca="false">SUM(C35:N35)</f>
        <v>96275</v>
      </c>
      <c r="P35" s="0" t="n">
        <f aca="false">AVERAGE(C35:N35)</f>
        <v>8022.91666666667</v>
      </c>
      <c r="Q35" s="0" t="n">
        <f aca="false">MEDIAN(C35:N35)</f>
        <v>7500.5</v>
      </c>
    </row>
    <row r="36" customFormat="false" ht="15.75" hidden="false" customHeight="false" outlineLevel="0" collapsed="false">
      <c r="B36" s="69" t="s">
        <v>44</v>
      </c>
      <c r="C36" s="80"/>
      <c r="D36" s="78" t="n">
        <f aca="false">IF(D35&gt;0,(D35-C35)/C35,"")</f>
        <v>-0.336830566865017</v>
      </c>
      <c r="E36" s="78" t="n">
        <f aca="false">IF(E35&gt;0,(E35-D35)/D35,"")</f>
        <v>0.559858323494687</v>
      </c>
      <c r="F36" s="78" t="n">
        <f aca="false">IF(F35&gt;0,(F35-E35)/E35,"")</f>
        <v>-0.130790190735695</v>
      </c>
      <c r="G36" s="78" t="n">
        <f aca="false">IF(G35&gt;0,(G35-F35)/F35,"")</f>
        <v>1.61459421804249</v>
      </c>
      <c r="H36" s="78" t="n">
        <f aca="false">IF(H35&gt;0,(H35-G35)/G35,"")</f>
        <v>-0.256111370145874</v>
      </c>
      <c r="I36" s="78" t="n">
        <f aca="false">IF(I35&gt;0,(I35-H35)/H35,"")</f>
        <v>-0.477077363896848</v>
      </c>
      <c r="J36" s="78" t="n">
        <f aca="false">IF(J35&gt;0,(J35-I35)/I35,"")</f>
        <v>0.527739726027397</v>
      </c>
      <c r="K36" s="78" t="n">
        <f aca="false">IF(K35&gt;0,(K35-J35)/J35,"")</f>
        <v>-0.0372113875812598</v>
      </c>
      <c r="L36" s="78" t="n">
        <f aca="false">IF(L35&gt;0,(L35-K35)/K35,"")</f>
        <v>-0.179627473806752</v>
      </c>
      <c r="M36" s="78" t="n">
        <f aca="false">IF(M35&gt;0,(M35-L35)/L35,"")</f>
        <v>0.244785014899957</v>
      </c>
      <c r="N36" s="78" t="n">
        <f aca="false">IF(N35&gt;0,(N35-M35)/M35,"")</f>
        <v>-0.0932512539899681</v>
      </c>
      <c r="O36" s="78" t="n">
        <f aca="false">SUM(C36:N36)</f>
        <v>1.43607767544312</v>
      </c>
      <c r="P36" s="78" t="n">
        <f aca="false">AVERAGE(C36:N36)</f>
        <v>0.130552515949375</v>
      </c>
      <c r="Q36" s="78" t="n">
        <f aca="false">MEDIAN(C36:N36)</f>
        <v>-0.0932512539899681</v>
      </c>
    </row>
    <row r="37" customFormat="false" ht="15.75" hidden="false" customHeight="false" outlineLevel="0" collapsed="false">
      <c r="B37" s="2" t="s">
        <v>3</v>
      </c>
      <c r="C37" s="2" t="n">
        <v>11414</v>
      </c>
      <c r="D37" s="2" t="n">
        <v>11688</v>
      </c>
      <c r="E37" s="2" t="n">
        <v>27211</v>
      </c>
      <c r="F37" s="2" t="n">
        <v>14012</v>
      </c>
      <c r="G37" s="2" t="n">
        <v>12823</v>
      </c>
      <c r="H37" s="2" t="n">
        <v>14996</v>
      </c>
      <c r="I37" s="2" t="n">
        <v>14212</v>
      </c>
      <c r="J37" s="2" t="n">
        <v>13479</v>
      </c>
      <c r="K37" s="74" t="n">
        <v>12195</v>
      </c>
      <c r="L37" s="74" t="n">
        <v>15327</v>
      </c>
      <c r="M37" s="74" t="n">
        <v>14354</v>
      </c>
      <c r="N37" s="2" t="n">
        <v>14406</v>
      </c>
      <c r="O37" s="0" t="n">
        <f aca="false">SUM(C37:N37)</f>
        <v>176117</v>
      </c>
      <c r="P37" s="0" t="n">
        <f aca="false">AVERAGE(C37:N37)</f>
        <v>14676.4166666667</v>
      </c>
      <c r="Q37" s="0" t="n">
        <f aca="false">MEDIAN(C37:N37)</f>
        <v>14112</v>
      </c>
    </row>
    <row r="38" customFormat="false" ht="15.75" hidden="false" customHeight="false" outlineLevel="0" collapsed="false">
      <c r="B38" s="69" t="s">
        <v>44</v>
      </c>
      <c r="C38" s="80"/>
      <c r="D38" s="78" t="n">
        <f aca="false">IF(D37&gt;0,(D37-C37)/C37,"")</f>
        <v>0.0240056071491151</v>
      </c>
      <c r="E38" s="78" t="n">
        <f aca="false">IF(E37&gt;0,(E37-D37)/D37,"")</f>
        <v>1.32811430527036</v>
      </c>
      <c r="F38" s="78" t="n">
        <f aca="false">IF(F37&gt;0,(F37-E37)/E37,"")</f>
        <v>-0.485061188489949</v>
      </c>
      <c r="G38" s="78" t="n">
        <f aca="false">IF(G37&gt;0,(G37-F37)/F37,"")</f>
        <v>-0.0848558378532686</v>
      </c>
      <c r="H38" s="78" t="n">
        <f aca="false">IF(H37&gt;0,(H37-G37)/G37,"")</f>
        <v>0.169461124541839</v>
      </c>
      <c r="I38" s="78" t="n">
        <f aca="false">IF(I37&gt;0,(I37-H37)/H37,"")</f>
        <v>-0.0522806081621766</v>
      </c>
      <c r="J38" s="78" t="n">
        <f aca="false">IF(J37&gt;0,(J37-I37)/I37,"")</f>
        <v>-0.0515761328454827</v>
      </c>
      <c r="K38" s="78" t="n">
        <f aca="false">IF(K37&gt;0,(K37-J37)/J37,"")</f>
        <v>-0.0952592922323614</v>
      </c>
      <c r="L38" s="78" t="n">
        <f aca="false">IF(L37&gt;0,(L37-K37)/K37,"")</f>
        <v>0.256826568265683</v>
      </c>
      <c r="M38" s="78" t="n">
        <f aca="false">IF(M37&gt;0,(M37-L37)/L37,"")</f>
        <v>-0.0634827428720559</v>
      </c>
      <c r="N38" s="78" t="n">
        <f aca="false">IF(N37&gt;0,(N37-M37)/M37,"")</f>
        <v>0.00362268357252334</v>
      </c>
      <c r="O38" s="78" t="n">
        <f aca="false">SUM(C38:N38)</f>
        <v>0.949514486344229</v>
      </c>
      <c r="P38" s="78" t="n">
        <f aca="false">AVERAGE(C38:N38)</f>
        <v>0.0863194987585663</v>
      </c>
      <c r="Q38" s="78" t="n">
        <f aca="false">MEDIAN(C38:N38)</f>
        <v>-0.0515761328454827</v>
      </c>
    </row>
    <row r="39" customFormat="false" ht="15.75" hidden="false" customHeight="false" outlineLevel="0" collapsed="false">
      <c r="B39" s="2" t="s">
        <v>47</v>
      </c>
      <c r="C39" s="79" t="n">
        <f aca="false">IF(C35&gt;0,MAX(0,(C37-C35)/C37),"")</f>
        <v>0.440511652356755</v>
      </c>
      <c r="D39" s="79" t="n">
        <f aca="false">IF(D35&gt;0,MAX(0,(D37-D35)/D37),"")</f>
        <v>0.637662559890486</v>
      </c>
      <c r="E39" s="79" t="n">
        <f aca="false">IF(E35&gt;0,MAX(0,(E37-E35)/E37),"")</f>
        <v>0.75723053177024</v>
      </c>
      <c r="F39" s="79" t="n">
        <f aca="false">IF(F35&gt;0,MAX(0,(F37-F35)/F37),"")</f>
        <v>0.590208392806166</v>
      </c>
      <c r="G39" s="79" t="n">
        <f aca="false">IF(G35&gt;0,MAX(0,(G37-G35)/G37),"")</f>
        <v>0</v>
      </c>
      <c r="H39" s="79" t="n">
        <f aca="false">IF(H35&gt;0,MAX(0,(H37-H35)/H37),"")</f>
        <v>0.25526807148573</v>
      </c>
      <c r="I39" s="79" t="n">
        <f aca="false">IF(I35&gt;0,MAX(0,(I37-I35)/I37),"")</f>
        <v>0.589079650999156</v>
      </c>
      <c r="J39" s="79" t="n">
        <f aca="false">IF(J35&gt;0,MAX(0,(J37-J35)/J37),"")</f>
        <v>0.338081460048965</v>
      </c>
      <c r="K39" s="79" t="n">
        <f aca="false">IF(K35&gt;0,MAX(0,(K37-K35)/K37),"")</f>
        <v>0.295612956129561</v>
      </c>
      <c r="L39" s="79" t="n">
        <f aca="false">IF(L35&gt;0,MAX(0,(L37-L35)/L37),"")</f>
        <v>0.540223135642983</v>
      </c>
      <c r="M39" s="79" t="n">
        <f aca="false">IF(M35&gt;0,MAX(0,(M37-M35)/M37),"")</f>
        <v>0.388881148112025</v>
      </c>
      <c r="N39" s="79" t="n">
        <f aca="false">IF(N35&gt;0,MAX(0,(N37-N35)/N37),"")</f>
        <v>0.447868943495766</v>
      </c>
      <c r="O39" s="79" t="n">
        <f aca="false">IF(O35&gt;0,MAX(0,(O37-O35)/O37),"")</f>
        <v>0.453346354979928</v>
      </c>
      <c r="P39" s="79" t="n">
        <f aca="false">AVERAGE(C39:N39)</f>
        <v>0.440052375228153</v>
      </c>
      <c r="Q39" s="79" t="n">
        <f aca="false">MEDIAN(C39:N39)</f>
        <v>0.44419029792626</v>
      </c>
    </row>
    <row r="40" customFormat="false" ht="15.75" hidden="false" customHeight="false" outlineLevel="0" collapsed="false">
      <c r="B40" s="69" t="s">
        <v>44</v>
      </c>
      <c r="C40" s="80"/>
      <c r="D40" s="91" t="n">
        <f aca="false">IF(ISBLANK(D35),"",IF(C39=0,100,(D39-C39)/C39))</f>
        <v>0.447549812766509</v>
      </c>
      <c r="E40" s="91" t="n">
        <f aca="false">IF(ISBLANK(E35),"",IF(D39=0,100,(E39-D39)/D39))</f>
        <v>0.187509788720054</v>
      </c>
      <c r="F40" s="91" t="n">
        <f aca="false">IF(ISBLANK(F35),"",IF(E39=0,100,(F39-E39)/E39))</f>
        <v>-0.220569736634381</v>
      </c>
      <c r="G40" s="91" t="n">
        <f aca="false">IF(ISBLANK(G35),"",IF(F39=0,100,(G39-F39)/F39))</f>
        <v>-1</v>
      </c>
      <c r="H40" s="80" t="n">
        <f aca="false">IF(ISBLANK(H35),"",IF(G39=0,100,(H39-G39)/G39))</f>
        <v>100</v>
      </c>
      <c r="I40" s="91" t="n">
        <f aca="false">IF(ISBLANK(I35),"",IF(H39=0,100,(I39-H39)/H39))</f>
        <v>1.30769029424852</v>
      </c>
      <c r="J40" s="91" t="n">
        <f aca="false">IF(ISBLANK(J35),"",IF(I39=0,100,(J39-I39)/I39))</f>
        <v>-0.426085318894423</v>
      </c>
      <c r="K40" s="91" t="n">
        <f aca="false">IF(ISBLANK(K35),"",IF(J39=0,100,(K39-J39)/J39))</f>
        <v>-0.125616187037446</v>
      </c>
      <c r="L40" s="91" t="n">
        <f aca="false">IF(ISBLANK(L35),"",IF(K39=0,100,(L39-K39)/K39))</f>
        <v>0.827467722376194</v>
      </c>
      <c r="M40" s="91" t="n">
        <f aca="false">IF(ISBLANK(M35),"",IF(L39=0,100,(M39-L39)/L39))</f>
        <v>-0.280147179092633</v>
      </c>
      <c r="N40" s="91" t="n">
        <f aca="false">IF(ISBLANK(N35),"",IF(M39=0,100,(N39-M39)/M39))</f>
        <v>0.15168592170158</v>
      </c>
      <c r="O40" s="73" t="s">
        <v>42</v>
      </c>
      <c r="P40" s="78" t="n">
        <f aca="false">AVERAGE(C40:N40)</f>
        <v>9.16995319255945</v>
      </c>
      <c r="Q40" s="78" t="n">
        <f aca="false">MEDIAN(C40:N40)</f>
        <v>0.15168592170158</v>
      </c>
    </row>
    <row r="43" customFormat="false" ht="15.75" hidden="false" customHeight="false" outlineLevel="0" collapsed="false">
      <c r="B43" s="83"/>
      <c r="P43" s="79"/>
    </row>
    <row r="44" customFormat="false" ht="15.75" hidden="false" customHeight="false" outlineLevel="0" collapsed="false">
      <c r="B44" s="83"/>
      <c r="P44" s="79"/>
    </row>
    <row r="45" customFormat="false" ht="15.75" hidden="false" customHeight="false" outlineLevel="0" collapsed="false">
      <c r="B45" s="83"/>
      <c r="P45" s="79"/>
    </row>
    <row r="46" customFormat="false" ht="15.75" hidden="false" customHeight="false" outlineLevel="0" collapsed="false">
      <c r="B46" s="83"/>
    </row>
    <row r="48" customFormat="false" ht="15.75" hidden="false" customHeight="false" outlineLevel="0" collapsed="false">
      <c r="C48" s="2" t="s">
        <v>27</v>
      </c>
      <c r="D48" s="2" t="s">
        <v>28</v>
      </c>
      <c r="E48" s="2" t="s">
        <v>29</v>
      </c>
      <c r="F48" s="2" t="s">
        <v>30</v>
      </c>
      <c r="G48" s="2" t="s">
        <v>31</v>
      </c>
      <c r="H48" s="2" t="s">
        <v>32</v>
      </c>
      <c r="I48" s="2" t="s">
        <v>33</v>
      </c>
      <c r="J48" s="2" t="s">
        <v>34</v>
      </c>
      <c r="K48" s="2" t="s">
        <v>35</v>
      </c>
      <c r="L48" s="2" t="s">
        <v>36</v>
      </c>
      <c r="M48" s="2" t="s">
        <v>37</v>
      </c>
      <c r="N48" s="2" t="s">
        <v>38</v>
      </c>
      <c r="O48" s="2" t="s">
        <v>39</v>
      </c>
      <c r="P48" s="2" t="s">
        <v>40</v>
      </c>
    </row>
    <row r="49" customFormat="false" ht="15.75" hidden="false" customHeight="false" outlineLevel="0" collapsed="false">
      <c r="B49" s="2" t="s">
        <v>1</v>
      </c>
      <c r="C49" s="0" t="n">
        <f aca="false">5532.49</f>
        <v>5532.49</v>
      </c>
      <c r="D49" s="0" t="n">
        <v>3787.76</v>
      </c>
      <c r="E49" s="0" t="n">
        <v>3927.2</v>
      </c>
      <c r="F49" s="0" t="n">
        <v>3188.04</v>
      </c>
      <c r="G49" s="0" t="n">
        <v>3951.17</v>
      </c>
      <c r="H49" s="0" t="n">
        <v>3955.97</v>
      </c>
      <c r="I49" s="74" t="n">
        <v>3643.57</v>
      </c>
      <c r="J49" s="74" t="n">
        <v>8922</v>
      </c>
      <c r="K49" s="74" t="n">
        <v>8543</v>
      </c>
      <c r="L49" s="2" t="n">
        <v>4321.87</v>
      </c>
      <c r="M49" s="2" t="n">
        <v>5902.74</v>
      </c>
      <c r="N49" s="2" t="n">
        <v>5969.48</v>
      </c>
      <c r="O49" s="0" t="n">
        <f aca="false">SUM(C49:N49)</f>
        <v>61645.29</v>
      </c>
      <c r="P49" s="5" t="n">
        <f aca="false">O49/(12-COUNTBLANK(C49:N49))</f>
        <v>5137.1075</v>
      </c>
    </row>
    <row r="50" customFormat="false" ht="15.75" hidden="false" customHeight="false" outlineLevel="0" collapsed="false">
      <c r="B50" s="2" t="s">
        <v>3</v>
      </c>
      <c r="C50" s="0" t="n">
        <v>11414</v>
      </c>
      <c r="D50" s="0" t="n">
        <v>11688</v>
      </c>
      <c r="E50" s="0" t="n">
        <v>27211.22</v>
      </c>
      <c r="F50" s="0" t="n">
        <v>14012</v>
      </c>
      <c r="G50" s="0" t="n">
        <v>12823</v>
      </c>
      <c r="H50" s="0" t="n">
        <v>12460.35</v>
      </c>
      <c r="I50" s="2" t="n">
        <v>14192.24</v>
      </c>
      <c r="J50" s="2" t="n">
        <v>13084.15</v>
      </c>
      <c r="K50" s="74" t="n">
        <v>11995</v>
      </c>
      <c r="L50" s="2" t="n">
        <v>15057.94</v>
      </c>
      <c r="M50" s="2" t="n">
        <v>13799.5</v>
      </c>
      <c r="N50" s="2" t="n">
        <v>13891.25</v>
      </c>
      <c r="O50" s="0" t="n">
        <f aca="false">SUM(C50:N50)</f>
        <v>171628.65</v>
      </c>
      <c r="P50" s="5" t="n">
        <f aca="false">O50/(12-COUNTBLANK(C50:N50))</f>
        <v>14302.3875</v>
      </c>
    </row>
    <row r="51" customFormat="false" ht="15.75" hidden="false" customHeight="false" outlineLevel="0" collapsed="false">
      <c r="B51" s="2" t="s">
        <v>205</v>
      </c>
      <c r="C51" s="0" t="n">
        <v>564.1</v>
      </c>
      <c r="D51" s="0" t="n">
        <v>838.7</v>
      </c>
      <c r="E51" s="0" t="n">
        <v>1644.82</v>
      </c>
      <c r="F51" s="0" t="n">
        <v>1962.99</v>
      </c>
      <c r="G51" s="0" t="n">
        <v>1270.4</v>
      </c>
      <c r="H51" s="0" t="n">
        <v>1260.35</v>
      </c>
      <c r="I51" s="74" t="n">
        <v>2010.95</v>
      </c>
      <c r="J51" s="74" t="n">
        <v>2379.45</v>
      </c>
      <c r="K51" s="74" t="n">
        <v>970</v>
      </c>
      <c r="L51" s="2" t="n">
        <v>1997.94</v>
      </c>
      <c r="M51" s="2" t="n">
        <v>2659.5</v>
      </c>
      <c r="N51" s="2" t="n">
        <v>2808.73</v>
      </c>
      <c r="O51" s="0" t="n">
        <f aca="false">SUM(C51:N51)</f>
        <v>20367.93</v>
      </c>
      <c r="P51" s="5" t="n">
        <f aca="false">O51/(12-COUNTBLANK(C51:N51))</f>
        <v>1697.3275</v>
      </c>
    </row>
    <row r="52" customFormat="false" ht="15.75" hidden="false" customHeight="false" outlineLevel="0" collapsed="false">
      <c r="I52" s="119"/>
      <c r="J52" s="119"/>
    </row>
    <row r="53" customFormat="false" ht="16.5" hidden="false" customHeight="true" outlineLevel="0" collapsed="false">
      <c r="B53" s="2" t="s">
        <v>173</v>
      </c>
      <c r="C53" s="2" t="s">
        <v>27</v>
      </c>
      <c r="D53" s="2" t="s">
        <v>28</v>
      </c>
      <c r="E53" s="2" t="s">
        <v>29</v>
      </c>
      <c r="F53" s="2" t="s">
        <v>30</v>
      </c>
      <c r="G53" s="2" t="s">
        <v>31</v>
      </c>
      <c r="H53" s="2" t="s">
        <v>32</v>
      </c>
      <c r="I53" s="2" t="s">
        <v>33</v>
      </c>
      <c r="J53" s="2" t="s">
        <v>34</v>
      </c>
      <c r="K53" s="2" t="s">
        <v>35</v>
      </c>
      <c r="L53" s="2" t="s">
        <v>36</v>
      </c>
      <c r="M53" s="2" t="s">
        <v>37</v>
      </c>
      <c r="N53" s="2" t="s">
        <v>38</v>
      </c>
      <c r="O53" s="2" t="s">
        <v>39</v>
      </c>
    </row>
    <row r="54" customFormat="false" ht="15.75" hidden="false" customHeight="false" outlineLevel="0" collapsed="false">
      <c r="B54" s="2" t="s">
        <v>174</v>
      </c>
      <c r="C54" s="2" t="n">
        <v>3</v>
      </c>
      <c r="D54" s="2" t="n">
        <v>3</v>
      </c>
      <c r="E54" s="2" t="n">
        <v>6</v>
      </c>
      <c r="F54" s="2" t="n">
        <v>4</v>
      </c>
      <c r="G54" s="2" t="n">
        <v>4</v>
      </c>
      <c r="H54" s="2" t="n">
        <v>5</v>
      </c>
      <c r="I54" s="2" t="n">
        <v>7</v>
      </c>
      <c r="J54" s="2" t="n">
        <v>10</v>
      </c>
      <c r="K54" s="2" t="n">
        <v>6</v>
      </c>
      <c r="L54" s="2" t="n">
        <v>7</v>
      </c>
      <c r="M54" s="2" t="n">
        <v>9</v>
      </c>
      <c r="N54" s="2" t="n">
        <v>10</v>
      </c>
      <c r="O54" s="0" t="n">
        <f aca="false">SUM(C54:N54)</f>
        <v>74</v>
      </c>
    </row>
    <row r="55" customFormat="false" ht="15.75" hidden="false" customHeight="false" outlineLevel="0" collapsed="false">
      <c r="B55" s="2" t="s">
        <v>39</v>
      </c>
      <c r="C55" s="0" t="n">
        <f aca="true">IF(MONTH(NOW())=1,DAY(NOW()),31)-C54</f>
        <v>28</v>
      </c>
      <c r="D55" s="0" t="n">
        <f aca="true">IF(MONTH(NOW())=2,DAY(NOW()),29)-D54</f>
        <v>26</v>
      </c>
      <c r="E55" s="0" t="n">
        <f aca="true">IF(MONTH(NOW())=3,DAY(NOW()),31)-E54</f>
        <v>25</v>
      </c>
      <c r="F55" s="0" t="n">
        <f aca="true">IF(MONTH(NOW())=4,DAY(NOW()),30)-F54</f>
        <v>26</v>
      </c>
      <c r="G55" s="0" t="n">
        <f aca="true">IF(MONTH(NOW())=5,DAY(NOW()),31)-G54</f>
        <v>13</v>
      </c>
      <c r="H55" s="0" t="n">
        <f aca="true">IF(MONTH(NOW())=6,DAY(NOW()),30)-H54</f>
        <v>25</v>
      </c>
      <c r="I55" s="0" t="n">
        <f aca="true">IF(MONTH(NOW())=7,DAY(NOW()),31)-I54</f>
        <v>24</v>
      </c>
      <c r="J55" s="0" t="n">
        <f aca="true">IF(MONTH(NOW())=8,DAY(NOW()),31)-J54</f>
        <v>21</v>
      </c>
      <c r="K55" s="0" t="n">
        <f aca="true">IF(MONTH(NOW())=9,DAY(NOW()),30)-K54</f>
        <v>24</v>
      </c>
      <c r="L55" s="0" t="n">
        <f aca="true">IF(MONTH(NOW())=10,DAY(NOW()),31)-L54</f>
        <v>24</v>
      </c>
      <c r="M55" s="0" t="n">
        <f aca="true">IF(MONTH(NOW())=11,DAY(NOW()),30)-M54</f>
        <v>21</v>
      </c>
      <c r="N55" s="0" t="n">
        <f aca="true">IF(MONTH(NOW())=12,DAY(NOW()),31)-N54</f>
        <v>21</v>
      </c>
      <c r="O55" s="0" t="n">
        <f aca="false">SUM(C55:N55)</f>
        <v>278</v>
      </c>
    </row>
    <row r="57" customFormat="false" ht="15.75" hidden="false" customHeight="false" outlineLevel="0" collapsed="false">
      <c r="B57" s="2" t="s">
        <v>175</v>
      </c>
      <c r="C57" s="2" t="s">
        <v>27</v>
      </c>
      <c r="D57" s="2" t="s">
        <v>28</v>
      </c>
      <c r="E57" s="2" t="s">
        <v>29</v>
      </c>
      <c r="F57" s="2" t="s">
        <v>30</v>
      </c>
      <c r="G57" s="2" t="s">
        <v>31</v>
      </c>
      <c r="H57" s="2" t="s">
        <v>32</v>
      </c>
      <c r="I57" s="2" t="s">
        <v>33</v>
      </c>
      <c r="J57" s="2" t="s">
        <v>34</v>
      </c>
      <c r="K57" s="2" t="s">
        <v>35</v>
      </c>
      <c r="L57" s="2" t="s">
        <v>36</v>
      </c>
      <c r="M57" s="2" t="s">
        <v>37</v>
      </c>
      <c r="N57" s="2" t="s">
        <v>38</v>
      </c>
      <c r="O57" s="2" t="s">
        <v>39</v>
      </c>
    </row>
    <row r="58" customFormat="false" ht="15.75" hidden="false" customHeight="false" outlineLevel="0" collapsed="false">
      <c r="B58" s="2" t="s">
        <v>39</v>
      </c>
      <c r="C58" s="2" t="n">
        <v>5</v>
      </c>
      <c r="O58" s="0" t="n">
        <f aca="false">SUM(C58:N58)</f>
        <v>5</v>
      </c>
    </row>
    <row r="60" customFormat="false" ht="15.75" hidden="false" customHeight="false" outlineLevel="0" collapsed="false">
      <c r="B60" s="2" t="s">
        <v>178</v>
      </c>
      <c r="C60" s="2" t="n">
        <v>1</v>
      </c>
      <c r="D60" s="2" t="n">
        <v>5</v>
      </c>
      <c r="E60" s="2" t="n">
        <v>4</v>
      </c>
      <c r="F60" s="2" t="n">
        <v>5</v>
      </c>
      <c r="G60" s="2" t="n">
        <v>6</v>
      </c>
      <c r="H60" s="2" t="n">
        <v>4</v>
      </c>
      <c r="I60" s="2" t="n">
        <v>6</v>
      </c>
      <c r="J60" s="2" t="n">
        <v>6</v>
      </c>
      <c r="K60" s="2" t="n">
        <v>1</v>
      </c>
      <c r="O60" s="0" t="n">
        <f aca="false">SUM(C60:N60)</f>
        <v>38</v>
      </c>
    </row>
    <row r="61" customFormat="false" ht="15.75" hidden="false" customHeight="false" outlineLevel="0" collapsed="false">
      <c r="B61" s="2" t="s">
        <v>206</v>
      </c>
      <c r="C61" s="2" t="n">
        <v>5</v>
      </c>
      <c r="D61" s="2" t="n">
        <v>1</v>
      </c>
      <c r="E61" s="2" t="n">
        <v>3</v>
      </c>
      <c r="F61" s="2" t="n">
        <v>0</v>
      </c>
      <c r="G61" s="2" t="n">
        <v>9</v>
      </c>
      <c r="H61" s="2" t="n">
        <v>8</v>
      </c>
      <c r="I61" s="2" t="n">
        <v>6</v>
      </c>
      <c r="J61" s="2" t="n">
        <v>6</v>
      </c>
      <c r="O61" s="0" t="n">
        <f aca="false">SUM(C61:N61)</f>
        <v>38</v>
      </c>
    </row>
    <row r="62" customFormat="false" ht="15.75" hidden="false" customHeight="false" outlineLevel="0" collapsed="false">
      <c r="B62" s="2" t="s">
        <v>179</v>
      </c>
      <c r="C62" s="2" t="n">
        <v>6</v>
      </c>
      <c r="D62" s="2" t="n">
        <v>3</v>
      </c>
      <c r="E62" s="2" t="n">
        <v>0</v>
      </c>
      <c r="F62" s="2" t="n">
        <v>0</v>
      </c>
      <c r="G62" s="2" t="n">
        <v>0</v>
      </c>
      <c r="H62" s="2" t="n">
        <v>0</v>
      </c>
      <c r="J62" s="2" t="n">
        <v>1</v>
      </c>
      <c r="O62" s="0" t="n">
        <f aca="false">SUM(C62:N62)</f>
        <v>10</v>
      </c>
    </row>
    <row r="63" customFormat="false" ht="15.75" hidden="false" customHeight="false" outlineLevel="0" collapsed="false">
      <c r="B63" s="2" t="s">
        <v>180</v>
      </c>
      <c r="C63" s="2" t="n">
        <v>1</v>
      </c>
      <c r="D63" s="2" t="n">
        <v>1</v>
      </c>
      <c r="E63" s="2" t="n">
        <v>0</v>
      </c>
      <c r="F63" s="2" t="n">
        <v>1</v>
      </c>
      <c r="G63" s="2" t="n">
        <v>0</v>
      </c>
      <c r="H63" s="2" t="n">
        <v>0</v>
      </c>
      <c r="I63" s="2" t="n">
        <v>1</v>
      </c>
      <c r="O63" s="0" t="n">
        <f aca="false">SUM(C63:N63)</f>
        <v>4</v>
      </c>
    </row>
    <row r="64" customFormat="false" ht="15.75" hidden="false" customHeight="false" outlineLevel="0" collapsed="false">
      <c r="C64" s="0" t="n">
        <f aca="false">SUM(C60:C63)</f>
        <v>13</v>
      </c>
      <c r="D64" s="0" t="n">
        <f aca="false">SUM(D60:D63)</f>
        <v>10</v>
      </c>
      <c r="E64" s="0" t="n">
        <f aca="false">SUM(E60:E63)</f>
        <v>7</v>
      </c>
      <c r="F64" s="0" t="n">
        <f aca="false">SUM(F60:F63)</f>
        <v>6</v>
      </c>
      <c r="G64" s="0" t="n">
        <f aca="false">SUM(G60:G63)</f>
        <v>15</v>
      </c>
      <c r="H64" s="0" t="n">
        <f aca="false">SUM(H60:H63)</f>
        <v>12</v>
      </c>
      <c r="I64" s="0" t="n">
        <f aca="false">SUM(I60:I63)</f>
        <v>13</v>
      </c>
      <c r="J64" s="0" t="n">
        <f aca="false">SUM(J60:J63)</f>
        <v>13</v>
      </c>
      <c r="K64" s="0" t="n">
        <f aca="false">SUM(K60:K63)</f>
        <v>1</v>
      </c>
      <c r="L64" s="0" t="n">
        <f aca="false">SUM(L60:L63)</f>
        <v>0</v>
      </c>
      <c r="M64" s="0" t="n">
        <f aca="false">SUM(M60:M63)</f>
        <v>0</v>
      </c>
      <c r="N64" s="0" t="n">
        <f aca="false">SUM(N60:N63)</f>
        <v>0</v>
      </c>
      <c r="O64" s="0" t="n">
        <f aca="false">SUM(C64:N64)</f>
        <v>90</v>
      </c>
    </row>
    <row r="68" customFormat="false" ht="15.75" hidden="false" customHeight="false" outlineLevel="0" collapsed="false">
      <c r="B68" s="2" t="s">
        <v>156</v>
      </c>
    </row>
    <row r="69" customFormat="false" ht="15.75" hidden="false" customHeight="false" outlineLevel="0" collapsed="false">
      <c r="B69" s="2" t="s">
        <v>207</v>
      </c>
    </row>
    <row r="70" customFormat="false" ht="15.75" hidden="false" customHeight="false" outlineLevel="0" collapsed="false">
      <c r="B70" s="2" t="s">
        <v>208</v>
      </c>
    </row>
    <row r="71" customFormat="false" ht="15.75" hidden="false" customHeight="false" outlineLevel="0" collapsed="false">
      <c r="B71" s="2" t="s">
        <v>209</v>
      </c>
    </row>
    <row r="72" customFormat="false" ht="15.75" hidden="false" customHeight="false" outlineLevel="0" collapsed="false">
      <c r="B72" s="2" t="s">
        <v>210</v>
      </c>
    </row>
    <row r="73" customFormat="false" ht="15.75" hidden="false" customHeight="false" outlineLevel="0" collapsed="false">
      <c r="B73" s="2" t="s">
        <v>211</v>
      </c>
    </row>
    <row r="74" customFormat="false" ht="15.75" hidden="false" customHeight="false" outlineLevel="0" collapsed="false">
      <c r="B74" s="2" t="s">
        <v>212</v>
      </c>
    </row>
    <row r="75" customFormat="false" ht="15.75" hidden="false" customHeight="false" outlineLevel="0" collapsed="false">
      <c r="B75" s="2" t="s">
        <v>213</v>
      </c>
    </row>
    <row r="76" customFormat="false" ht="15.75" hidden="false" customHeight="false" outlineLevel="0" collapsed="false">
      <c r="B76" s="2" t="s">
        <v>214</v>
      </c>
    </row>
  </sheetData>
  <mergeCells count="35">
    <mergeCell ref="B2:D2"/>
    <mergeCell ref="B3:I3"/>
    <mergeCell ref="K3:L3"/>
    <mergeCell ref="B4:D4"/>
    <mergeCell ref="F4:I4"/>
    <mergeCell ref="K4:L4"/>
    <mergeCell ref="B5:D5"/>
    <mergeCell ref="B6:D6"/>
    <mergeCell ref="F6:I6"/>
    <mergeCell ref="B7:D7"/>
    <mergeCell ref="F7:I7"/>
    <mergeCell ref="B8:D8"/>
    <mergeCell ref="F8:I8"/>
    <mergeCell ref="B9:L9"/>
    <mergeCell ref="B10:D10"/>
    <mergeCell ref="F10:I10"/>
    <mergeCell ref="B11:L11"/>
    <mergeCell ref="N11:O11"/>
    <mergeCell ref="B12:D12"/>
    <mergeCell ref="F12:I12"/>
    <mergeCell ref="N12:O12"/>
    <mergeCell ref="B13:D13"/>
    <mergeCell ref="B14:D14"/>
    <mergeCell ref="F14:I14"/>
    <mergeCell ref="B15:D15"/>
    <mergeCell ref="F15:I15"/>
    <mergeCell ref="B16:D16"/>
    <mergeCell ref="F16:I16"/>
    <mergeCell ref="B17:L17"/>
    <mergeCell ref="B18:D18"/>
    <mergeCell ref="F18:I18"/>
    <mergeCell ref="B19:D19"/>
    <mergeCell ref="F19:I19"/>
    <mergeCell ref="B20:D20"/>
    <mergeCell ref="B25:Q25"/>
  </mergeCells>
  <conditionalFormatting sqref="K4:K8 L5:L8 K10:L10 K12:L16 K18:L20">
    <cfRule type="cellIs" priority="2" operator="between" aboveAverage="0" equalAverage="0" bottom="0" percent="0" rank="0" text="" dxfId="0">
      <formula>0</formula>
      <formula>0.35</formula>
    </cfRule>
  </conditionalFormatting>
  <conditionalFormatting sqref="K4:K8 L5:L8 K10:L10 K12:L16 K18:L20">
    <cfRule type="cellIs" priority="3" operator="between" aboveAverage="0" equalAverage="0" bottom="0" percent="0" rank="0" text="" dxfId="1">
      <formula>0.36</formula>
      <formula>0.6</formula>
    </cfRule>
  </conditionalFormatting>
  <conditionalFormatting sqref="K4:K8 L5:L8 K10:L10 K12:L16 K18:L20">
    <cfRule type="cellIs" priority="4" operator="between" aboveAverage="0" equalAverage="0" bottom="0" percent="0" rank="0" text="" dxfId="2">
      <formula>0.6</formula>
      <formula>0.85</formula>
    </cfRule>
  </conditionalFormatting>
  <conditionalFormatting sqref="K4:K8 L5:L8 K10:L10 K12:L16 K18:L20">
    <cfRule type="cellIs" priority="5" operator="between" aboveAverage="0" equalAverage="0" bottom="0" percent="0" rank="0" text="" dxfId="3">
      <formula>0.86</formula>
      <formula>0.99</formula>
    </cfRule>
  </conditionalFormatting>
  <conditionalFormatting sqref="K4:K8 L5:L8 K10:L10 K12:L16 K18:L20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Q1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0" width="3.25"/>
    <col collapsed="false" customWidth="true" hidden="false" outlineLevel="0" max="2" min="2" style="0" width="29.88"/>
    <col collapsed="false" customWidth="true" hidden="false" outlineLevel="0" max="3" min="3" style="0" width="10.13"/>
    <col collapsed="false" customWidth="true" hidden="false" outlineLevel="0" max="4" min="4" style="0" width="8.13"/>
    <col collapsed="false" customWidth="true" hidden="false" outlineLevel="0" max="10" min="5" style="0" width="9.51"/>
    <col collapsed="false" customWidth="true" hidden="false" outlineLevel="0" max="12" min="11" style="0" width="10.75"/>
    <col collapsed="false" customWidth="true" hidden="false" outlineLevel="0" max="14" min="13" style="0" width="8.5"/>
    <col collapsed="false" customWidth="true" hidden="false" outlineLevel="0" max="15" min="15" style="0" width="7.75"/>
    <col collapsed="false" customWidth="true" hidden="false" outlineLevel="0" max="16" min="16" style="0" width="8.5"/>
    <col collapsed="false" customWidth="true" hidden="false" outlineLevel="0" max="17" min="17" style="0" width="12.88"/>
  </cols>
  <sheetData>
    <row r="1" customFormat="false" ht="15.75" hidden="false" customHeight="false" outlineLevel="0" collapsed="false">
      <c r="A1" s="2" t="s">
        <v>97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customFormat="false" ht="15.75" hidden="false" customHeight="false" outlineLevel="0" collapsed="false">
      <c r="A2" s="50"/>
      <c r="B2" s="48" t="s">
        <v>84</v>
      </c>
      <c r="C2" s="48"/>
      <c r="D2" s="48"/>
      <c r="E2" s="49" t="n">
        <v>2018</v>
      </c>
      <c r="F2" s="49" t="s">
        <v>98</v>
      </c>
      <c r="G2" s="49" t="s">
        <v>99</v>
      </c>
      <c r="H2" s="49" t="s">
        <v>100</v>
      </c>
      <c r="I2" s="49" t="s">
        <v>100</v>
      </c>
      <c r="J2" s="49" t="s">
        <v>9</v>
      </c>
      <c r="K2" s="49" t="s">
        <v>11</v>
      </c>
      <c r="L2" s="49" t="s">
        <v>101</v>
      </c>
    </row>
    <row r="3" customFormat="false" ht="15.75" hidden="false" customHeight="false" outlineLevel="0" collapsed="false">
      <c r="A3" s="50"/>
      <c r="B3" s="60" t="s">
        <v>12</v>
      </c>
      <c r="C3" s="60"/>
      <c r="D3" s="60"/>
      <c r="E3" s="60"/>
      <c r="F3" s="60"/>
      <c r="G3" s="60"/>
      <c r="H3" s="60"/>
      <c r="I3" s="60"/>
      <c r="J3" s="115" t="n">
        <v>43830</v>
      </c>
      <c r="K3" s="53"/>
      <c r="L3" s="53"/>
      <c r="M3" s="2"/>
    </row>
    <row r="4" customFormat="false" ht="16.15" hidden="false" customHeight="false" outlineLevel="0" collapsed="false">
      <c r="A4" s="50"/>
      <c r="B4" s="54" t="s">
        <v>215</v>
      </c>
      <c r="C4" s="54"/>
      <c r="D4" s="54"/>
      <c r="E4" s="54" t="n">
        <f aca="false">'2018'!H4</f>
        <v>36668</v>
      </c>
      <c r="F4" s="93" t="s">
        <v>104</v>
      </c>
      <c r="G4" s="93"/>
      <c r="H4" s="93"/>
      <c r="I4" s="93"/>
      <c r="J4" s="54" t="n">
        <f aca="false">O50</f>
        <v>68652.98</v>
      </c>
      <c r="K4" s="117" t="n">
        <f aca="false">(J4/50000)</f>
        <v>1.3730596</v>
      </c>
      <c r="L4" s="117" t="n">
        <f aca="false">J4/(MONTH(DATEVALUE(J3))*(50000/12))</f>
        <v>1.3730596</v>
      </c>
      <c r="M4" s="2"/>
      <c r="N4" s="2"/>
      <c r="O4" s="2"/>
    </row>
    <row r="5" customFormat="false" ht="16.15" hidden="false" customHeight="false" outlineLevel="0" collapsed="false">
      <c r="A5" s="50"/>
      <c r="B5" s="54" t="s">
        <v>216</v>
      </c>
      <c r="C5" s="54"/>
      <c r="D5" s="54"/>
      <c r="E5" s="54" t="n">
        <v>5341</v>
      </c>
      <c r="F5" s="93" t="s">
        <v>104</v>
      </c>
      <c r="G5" s="93"/>
      <c r="H5" s="93"/>
      <c r="I5" s="93"/>
      <c r="J5" s="63" t="n">
        <f aca="false">(4417.71+6081.39+5087.52+4284.06+3867.89+7925.43+5828.78+5364.75+5683.11+5418.88+5411.41+4964.73)/MONTH(J3)</f>
        <v>5361.305</v>
      </c>
      <c r="K5" s="117" t="n">
        <f aca="false">5000/J5</f>
        <v>0.9326087585</v>
      </c>
      <c r="L5" s="117"/>
    </row>
    <row r="6" customFormat="false" ht="16.15" hidden="false" customHeight="false" outlineLevel="0" collapsed="false">
      <c r="A6" s="50"/>
      <c r="B6" s="54" t="s">
        <v>182</v>
      </c>
      <c r="C6" s="54"/>
      <c r="D6" s="54"/>
      <c r="E6" s="54" t="n">
        <v>6768</v>
      </c>
      <c r="F6" s="93" t="s">
        <v>28</v>
      </c>
      <c r="G6" s="100"/>
      <c r="H6" s="54"/>
      <c r="I6" s="100"/>
      <c r="J6" s="54" t="n">
        <v>6826</v>
      </c>
      <c r="K6" s="117" t="n">
        <f aca="false">J6/(6826)</f>
        <v>1</v>
      </c>
      <c r="L6" s="117" t="n">
        <f aca="false">J6/(MONTH(DATEVALUE(J3))*((6826)/MONTH(DATEVALUE(J3))))</f>
        <v>1</v>
      </c>
    </row>
    <row r="7" customFormat="false" ht="16.15" hidden="false" customHeight="false" outlineLevel="0" collapsed="false">
      <c r="A7" s="50"/>
      <c r="B7" s="54" t="s">
        <v>217</v>
      </c>
      <c r="C7" s="54"/>
      <c r="D7" s="54"/>
      <c r="E7" s="54" t="n">
        <v>124784</v>
      </c>
      <c r="F7" s="93" t="s">
        <v>104</v>
      </c>
      <c r="G7" s="93"/>
      <c r="H7" s="93"/>
      <c r="I7" s="93"/>
      <c r="J7" s="54" t="n">
        <v>232043</v>
      </c>
      <c r="K7" s="118" t="n">
        <f aca="false">J7/200000</f>
        <v>1.160215</v>
      </c>
      <c r="L7" s="117" t="n">
        <f aca="false">(J7-E7)/(MONTH(DATEVALUE(J3))*((200000-E7)/12))</f>
        <v>1.426013082</v>
      </c>
    </row>
    <row r="8" customFormat="false" ht="16.15" hidden="false" customHeight="false" outlineLevel="0" collapsed="false">
      <c r="A8" s="50"/>
      <c r="B8" s="54" t="s">
        <v>106</v>
      </c>
      <c r="C8" s="54"/>
      <c r="D8" s="54"/>
      <c r="E8" s="54" t="n">
        <v>107376</v>
      </c>
      <c r="F8" s="93" t="s">
        <v>104</v>
      </c>
      <c r="G8" s="93"/>
      <c r="H8" s="93"/>
      <c r="I8" s="93"/>
      <c r="J8" s="54" t="n">
        <f aca="false">9132+9132+18855+9477+9400+9393+13493.43+9569.3+11506.23+12241.5+11050+11756</f>
        <v>135005.46</v>
      </c>
      <c r="K8" s="117" t="n">
        <f aca="false">J8/(E8*1.1)</f>
        <v>1.143013675</v>
      </c>
      <c r="L8" s="117" t="n">
        <f aca="false">(J8)/(MONTH(DATEVALUE(J3))*((1.1*E8)/12))</f>
        <v>1.143013675</v>
      </c>
    </row>
    <row r="9" customFormat="false" ht="16.15" hidden="false" customHeight="false" outlineLevel="0" collapsed="false">
      <c r="A9" s="50"/>
      <c r="B9" s="54" t="s">
        <v>218</v>
      </c>
      <c r="C9" s="54"/>
      <c r="D9" s="54"/>
      <c r="E9" s="54" t="n">
        <v>7.4</v>
      </c>
      <c r="F9" s="93" t="s">
        <v>104</v>
      </c>
      <c r="G9" s="93"/>
      <c r="H9" s="93"/>
      <c r="I9" s="93"/>
      <c r="J9" s="54" t="n">
        <v>14.84</v>
      </c>
      <c r="K9" s="117" t="n">
        <f aca="false">J9/12</f>
        <v>1.236666667</v>
      </c>
      <c r="L9" s="117" t="n">
        <f aca="false">(J9-E9)/(MONTH(DATEVALUE(J3))*((12-E9)/12))</f>
        <v>1.617391304</v>
      </c>
    </row>
    <row r="10" customFormat="false" ht="16.15" hidden="false" customHeight="false" outlineLevel="0" collapsed="false">
      <c r="A10" s="50"/>
      <c r="B10" s="54" t="s">
        <v>184</v>
      </c>
      <c r="C10" s="54"/>
      <c r="D10" s="54"/>
      <c r="E10" s="54" t="n">
        <v>3</v>
      </c>
      <c r="F10" s="93" t="s">
        <v>104</v>
      </c>
      <c r="G10" s="93"/>
      <c r="H10" s="93"/>
      <c r="I10" s="93"/>
      <c r="J10" s="54" t="n">
        <v>4</v>
      </c>
      <c r="K10" s="117" t="n">
        <f aca="false">J10/3</f>
        <v>1.333333333</v>
      </c>
      <c r="L10" s="117" t="n">
        <f aca="false">J10/(MONTH(DATEVALUE(J3))*(3/12))</f>
        <v>1.333333333</v>
      </c>
    </row>
    <row r="11" customFormat="false" ht="15.75" hidden="false" customHeight="false" outlineLevel="0" collapsed="false">
      <c r="A11" s="50"/>
      <c r="B11" s="60" t="s">
        <v>185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</row>
    <row r="12" customFormat="false" ht="16.15" hidden="false" customHeight="false" outlineLevel="0" collapsed="false">
      <c r="A12" s="50"/>
      <c r="B12" s="54" t="s">
        <v>219</v>
      </c>
      <c r="C12" s="54"/>
      <c r="D12" s="54"/>
      <c r="E12" s="96" t="s">
        <v>42</v>
      </c>
      <c r="F12" s="93" t="s">
        <v>29</v>
      </c>
      <c r="G12" s="100"/>
      <c r="H12" s="54"/>
      <c r="I12" s="100"/>
      <c r="J12" s="54" t="n">
        <v>100</v>
      </c>
      <c r="K12" s="117" t="n">
        <f aca="false">J12/100</f>
        <v>1</v>
      </c>
      <c r="L12" s="117"/>
    </row>
    <row r="13" customFormat="false" ht="16.15" hidden="false" customHeight="false" outlineLevel="0" collapsed="false">
      <c r="A13" s="50"/>
      <c r="B13" s="54" t="s">
        <v>220</v>
      </c>
      <c r="C13" s="54"/>
      <c r="D13" s="54"/>
      <c r="E13" s="96" t="s">
        <v>42</v>
      </c>
      <c r="F13" s="101"/>
      <c r="G13" s="100"/>
      <c r="H13" s="54"/>
      <c r="I13" s="93" t="s">
        <v>38</v>
      </c>
      <c r="J13" s="96" t="s">
        <v>221</v>
      </c>
      <c r="K13" s="117" t="n">
        <f aca="false">IF(J13="YES",1,0)</f>
        <v>1</v>
      </c>
      <c r="L13" s="117"/>
    </row>
    <row r="14" customFormat="false" ht="15.75" hidden="false" customHeight="false" outlineLevel="0" collapsed="false">
      <c r="A14" s="50"/>
      <c r="B14" s="60" t="s">
        <v>111</v>
      </c>
      <c r="C14" s="60"/>
      <c r="D14" s="60"/>
      <c r="E14" s="60"/>
      <c r="F14" s="60"/>
      <c r="G14" s="60"/>
      <c r="H14" s="60"/>
      <c r="I14" s="60"/>
      <c r="J14" s="60"/>
      <c r="K14" s="60"/>
      <c r="L14" s="60"/>
    </row>
    <row r="15" customFormat="false" ht="16.15" hidden="false" customHeight="false" outlineLevel="0" collapsed="false">
      <c r="A15" s="50"/>
      <c r="B15" s="54" t="s">
        <v>188</v>
      </c>
      <c r="C15" s="54"/>
      <c r="D15" s="54"/>
      <c r="E15" s="54" t="n">
        <f aca="false">'2018'!H11</f>
        <v>126</v>
      </c>
      <c r="F15" s="93" t="s">
        <v>104</v>
      </c>
      <c r="G15" s="93"/>
      <c r="H15" s="93"/>
      <c r="I15" s="93"/>
      <c r="J15" s="54" t="n">
        <f aca="false">10+8+12+14+10+12+14+13+9+10+7+6</f>
        <v>125</v>
      </c>
      <c r="K15" s="117" t="n">
        <f aca="false">J15/100</f>
        <v>1.25</v>
      </c>
      <c r="L15" s="117" t="n">
        <f aca="false">J15/(MONTH(DATEVALUE(J3))*(100/12))</f>
        <v>1.25</v>
      </c>
    </row>
    <row r="16" customFormat="false" ht="16.15" hidden="false" customHeight="false" outlineLevel="0" collapsed="false">
      <c r="A16" s="50"/>
      <c r="B16" s="54" t="s">
        <v>222</v>
      </c>
      <c r="C16" s="54"/>
      <c r="D16" s="54"/>
      <c r="E16" s="96" t="n">
        <v>258</v>
      </c>
      <c r="F16" s="100"/>
      <c r="G16" s="100"/>
      <c r="H16" s="93" t="s">
        <v>35</v>
      </c>
      <c r="I16" s="100"/>
      <c r="J16" s="96" t="n">
        <f aca="false">1587</f>
        <v>1587</v>
      </c>
      <c r="K16" s="117" t="n">
        <f aca="false">J16/500</f>
        <v>3.174</v>
      </c>
      <c r="L16" s="117" t="n">
        <f aca="false">K16</f>
        <v>3.174</v>
      </c>
    </row>
    <row r="17" customFormat="false" ht="15.75" hidden="false" customHeight="false" outlineLevel="0" collapsed="false">
      <c r="A17" s="50"/>
      <c r="B17" s="60" t="s">
        <v>19</v>
      </c>
      <c r="C17" s="60"/>
      <c r="D17" s="60"/>
      <c r="E17" s="60"/>
      <c r="F17" s="60"/>
      <c r="G17" s="60"/>
      <c r="H17" s="60"/>
      <c r="I17" s="60"/>
      <c r="J17" s="60"/>
      <c r="K17" s="60"/>
      <c r="L17" s="60"/>
    </row>
    <row r="18" customFormat="false" ht="16.15" hidden="false" customHeight="false" outlineLevel="0" collapsed="false">
      <c r="A18" s="2"/>
      <c r="B18" s="54" t="s">
        <v>223</v>
      </c>
      <c r="C18" s="54"/>
      <c r="D18" s="54"/>
      <c r="E18" s="96" t="n">
        <v>2</v>
      </c>
      <c r="F18" s="93" t="s">
        <v>104</v>
      </c>
      <c r="G18" s="93"/>
      <c r="H18" s="93"/>
      <c r="I18" s="93"/>
      <c r="J18" s="96" t="n">
        <v>2</v>
      </c>
      <c r="K18" s="117" t="n">
        <f aca="false">J18/3</f>
        <v>0.6666666667</v>
      </c>
      <c r="L18" s="117" t="n">
        <f aca="false">J18/(MONTH(DATEVALUE(J3))*(3/12))</f>
        <v>0.6666666667</v>
      </c>
    </row>
    <row r="19" customFormat="false" ht="16.15" hidden="false" customHeight="false" outlineLevel="0" collapsed="false">
      <c r="A19" s="2"/>
      <c r="B19" s="54" t="s">
        <v>224</v>
      </c>
      <c r="C19" s="54"/>
      <c r="D19" s="54"/>
      <c r="E19" s="96" t="n">
        <v>4</v>
      </c>
      <c r="F19" s="93" t="s">
        <v>104</v>
      </c>
      <c r="G19" s="93"/>
      <c r="H19" s="93"/>
      <c r="I19" s="93"/>
      <c r="J19" s="96" t="n">
        <v>12</v>
      </c>
      <c r="K19" s="117" t="n">
        <f aca="false">J19/12</f>
        <v>1</v>
      </c>
      <c r="L19" s="117" t="n">
        <f aca="false">J19/(MONTH(DATEVALUE(J3))*(12/12))</f>
        <v>1</v>
      </c>
    </row>
    <row r="20" customFormat="false" ht="16.15" hidden="false" customHeight="false" outlineLevel="0" collapsed="false">
      <c r="A20" s="2"/>
      <c r="B20" s="54" t="s">
        <v>225</v>
      </c>
      <c r="C20" s="54"/>
      <c r="D20" s="54"/>
      <c r="E20" s="96" t="n">
        <v>150</v>
      </c>
      <c r="F20" s="93" t="s">
        <v>104</v>
      </c>
      <c r="G20" s="93"/>
      <c r="H20" s="93"/>
      <c r="I20" s="93"/>
      <c r="J20" s="96" t="n">
        <f aca="false">O55</f>
        <v>304</v>
      </c>
      <c r="K20" s="117" t="n">
        <f aca="false">J20/300</f>
        <v>1.01333333333333</v>
      </c>
      <c r="L20" s="117" t="e">
        <f aca="false">J20/(MONTH(DATEVALUE(J3))*(300/12))</f>
        <v>#VALUE!</v>
      </c>
    </row>
    <row r="21" customFormat="false" ht="16.15" hidden="false" customHeight="false" outlineLevel="0" collapsed="false">
      <c r="B21" s="54" t="s">
        <v>226</v>
      </c>
      <c r="C21" s="54"/>
      <c r="D21" s="54"/>
      <c r="E21" s="96" t="s">
        <v>42</v>
      </c>
      <c r="F21" s="100"/>
      <c r="G21" s="93" t="s">
        <v>32</v>
      </c>
      <c r="H21" s="100"/>
      <c r="I21" s="100"/>
      <c r="J21" s="110" t="n">
        <v>1</v>
      </c>
      <c r="K21" s="117" t="n">
        <f aca="false">J21</f>
        <v>1</v>
      </c>
      <c r="L21" s="117" t="n">
        <f aca="false">100%</f>
        <v>1</v>
      </c>
    </row>
    <row r="22" customFormat="false" ht="16.15" hidden="false" customHeight="false" outlineLevel="0" collapsed="false">
      <c r="B22" s="54" t="s">
        <v>227</v>
      </c>
      <c r="C22" s="54"/>
      <c r="D22" s="54"/>
      <c r="E22" s="96" t="s">
        <v>42</v>
      </c>
      <c r="F22" s="100"/>
      <c r="G22" s="100"/>
      <c r="H22" s="93" t="s">
        <v>35</v>
      </c>
      <c r="I22" s="100"/>
      <c r="J22" s="96" t="s">
        <v>228</v>
      </c>
      <c r="K22" s="117" t="n">
        <f aca="false">IF(J22="YES",1,0)</f>
        <v>0</v>
      </c>
      <c r="L22" s="117"/>
    </row>
    <row r="24" customFormat="false" ht="15.75" hidden="false" customHeight="false" outlineLevel="0" collapsed="false">
      <c r="B24" s="83"/>
    </row>
    <row r="25" customFormat="false" ht="22.05" hidden="false" customHeight="false" outlineLevel="0" collapsed="false">
      <c r="B25" s="81" t="s">
        <v>26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</row>
    <row r="26" customFormat="false" ht="15.75" hidden="false" customHeight="false" outlineLevel="0" collapsed="false">
      <c r="B26" s="1"/>
      <c r="C26" s="65" t="s">
        <v>27</v>
      </c>
      <c r="D26" s="65" t="s">
        <v>28</v>
      </c>
      <c r="E26" s="65" t="s">
        <v>29</v>
      </c>
      <c r="F26" s="65" t="s">
        <v>30</v>
      </c>
      <c r="G26" s="65" t="s">
        <v>31</v>
      </c>
      <c r="H26" s="65" t="s">
        <v>32</v>
      </c>
      <c r="I26" s="65" t="s">
        <v>33</v>
      </c>
      <c r="J26" s="65" t="s">
        <v>34</v>
      </c>
      <c r="K26" s="65" t="s">
        <v>35</v>
      </c>
      <c r="L26" s="65" t="s">
        <v>36</v>
      </c>
      <c r="M26" s="65" t="s">
        <v>37</v>
      </c>
      <c r="N26" s="65" t="s">
        <v>38</v>
      </c>
      <c r="O26" s="65" t="s">
        <v>39</v>
      </c>
      <c r="P26" s="66" t="s">
        <v>40</v>
      </c>
      <c r="Q26" s="66" t="s">
        <v>41</v>
      </c>
    </row>
    <row r="27" customFormat="false" ht="15.75" hidden="false" customHeight="false" outlineLevel="0" collapsed="false">
      <c r="B27" s="67" t="s">
        <v>4</v>
      </c>
      <c r="C27" s="74" t="n">
        <v>135128</v>
      </c>
      <c r="D27" s="74" t="n">
        <v>146077</v>
      </c>
      <c r="E27" s="74" t="n">
        <v>156445</v>
      </c>
      <c r="F27" s="74" t="n">
        <v>171243</v>
      </c>
      <c r="G27" s="74" t="n">
        <v>174301</v>
      </c>
      <c r="H27" s="74" t="n">
        <v>179295</v>
      </c>
      <c r="I27" s="74" t="n">
        <v>188756</v>
      </c>
      <c r="J27" s="74" t="n">
        <v>1977888</v>
      </c>
      <c r="K27" s="74" t="n">
        <v>207957</v>
      </c>
      <c r="L27" s="74" t="n">
        <v>218823</v>
      </c>
      <c r="M27" s="2" t="n">
        <v>227042</v>
      </c>
      <c r="N27" s="2" t="n">
        <v>231136</v>
      </c>
      <c r="O27" s="2" t="n">
        <f aca="false">IFERROR(LOOKUP(9^9,C27:N27),"")</f>
        <v>231136</v>
      </c>
      <c r="P27" s="2" t="s">
        <v>42</v>
      </c>
      <c r="Q27" s="2" t="s">
        <v>42</v>
      </c>
    </row>
    <row r="28" customFormat="false" ht="15.75" hidden="false" customHeight="false" outlineLevel="0" collapsed="false">
      <c r="B28" s="69" t="s">
        <v>43</v>
      </c>
      <c r="C28" s="69"/>
      <c r="D28" s="104" t="n">
        <f aca="false">IF(D27&gt;0,D27-C27,"")</f>
        <v>10949</v>
      </c>
      <c r="E28" s="104" t="n">
        <f aca="false">IF(E27&gt;0,E27-D27,"")</f>
        <v>10368</v>
      </c>
      <c r="F28" s="104" t="n">
        <f aca="false">IF(F27&gt;0,F27-E27,"")</f>
        <v>14798</v>
      </c>
      <c r="G28" s="104" t="n">
        <f aca="false">IF(G27&gt;0,G27-F27,"")</f>
        <v>3058</v>
      </c>
      <c r="H28" s="104" t="n">
        <f aca="false">IF(H27&gt;0,H27-G27,"")</f>
        <v>4994</v>
      </c>
      <c r="I28" s="104" t="n">
        <f aca="false">IF(I27&gt;0,I27-H27,"")</f>
        <v>9461</v>
      </c>
      <c r="J28" s="104" t="n">
        <f aca="false">IF(J27&gt;0,J27-I27,"")</f>
        <v>1789132</v>
      </c>
      <c r="K28" s="104" t="n">
        <f aca="false">IF(K27&gt;0,K27-J27,"")</f>
        <v>-1769931</v>
      </c>
      <c r="L28" s="104" t="n">
        <f aca="false">IF(L27&gt;0,L27-K27,"")</f>
        <v>10866</v>
      </c>
      <c r="M28" s="104" t="n">
        <f aca="false">IF(M27&gt;0,M27-L27,"")</f>
        <v>8219</v>
      </c>
      <c r="N28" s="69" t="n">
        <f aca="false">IF(N27&gt;0,N27-M27,"")</f>
        <v>4094</v>
      </c>
      <c r="O28" s="71" t="n">
        <f aca="false">SUM(C28:N28)</f>
        <v>96008</v>
      </c>
      <c r="P28" s="71" t="n">
        <f aca="false">AVERAGE(C28:N28)</f>
        <v>8728</v>
      </c>
      <c r="Q28" s="71" t="n">
        <f aca="false">MEDIAN(C28:N28)</f>
        <v>9461</v>
      </c>
    </row>
    <row r="29" customFormat="false" ht="15.75" hidden="false" customHeight="false" outlineLevel="0" collapsed="false">
      <c r="B29" s="69" t="s">
        <v>44</v>
      </c>
      <c r="C29" s="69"/>
      <c r="D29" s="72" t="n">
        <f aca="false">IF(D27&gt;0,(D27-C27)/C27,"")</f>
        <v>0.08102687821917</v>
      </c>
      <c r="E29" s="72" t="n">
        <f aca="false">IF(E27&gt;0,(E27-D27)/D27,"")</f>
        <v>0.0709762659419347</v>
      </c>
      <c r="F29" s="72" t="n">
        <f aca="false">IF(F27&gt;0,(F27-E27)/E27,"")</f>
        <v>0.0945891527373838</v>
      </c>
      <c r="G29" s="72" t="n">
        <f aca="false">IF(G27&gt;0,(G27-F27)/F27,"")</f>
        <v>0.0178576642548893</v>
      </c>
      <c r="H29" s="72" t="n">
        <f aca="false">IF(H27&gt;0,(H27-G27)/G27,"")</f>
        <v>0.0286515854757001</v>
      </c>
      <c r="I29" s="72" t="n">
        <f aca="false">IF(I27&gt;0,(I27-H27)/H27,"")</f>
        <v>0.0527677849354416</v>
      </c>
      <c r="J29" s="72" t="n">
        <f aca="false">IF(J27&gt;0,(J27-I27)/I27,"")</f>
        <v>9.47854372841128</v>
      </c>
      <c r="K29" s="72" t="n">
        <f aca="false">IF(K27&gt;0,(K27-J27)/J27,"")</f>
        <v>-0.894859061787118</v>
      </c>
      <c r="L29" s="72" t="n">
        <f aca="false">IF(L27&gt;0,(L27-K27)/K27,"")</f>
        <v>0.052251186543372</v>
      </c>
      <c r="M29" s="72" t="n">
        <f aca="false">IF(M27&gt;0,(M27-L27)/L27,"")</f>
        <v>0.0375600371076167</v>
      </c>
      <c r="N29" s="72" t="n">
        <f aca="false">IF(N27&gt;0,(N27-M27)/M27,"")</f>
        <v>0.018031905990962</v>
      </c>
      <c r="O29" s="69" t="s">
        <v>42</v>
      </c>
      <c r="P29" s="72" t="n">
        <f aca="false">AVERAGE(C29:N29)</f>
        <v>0.821581557075512</v>
      </c>
      <c r="Q29" s="72" t="n">
        <f aca="false">MEDIAN(C29:N29)</f>
        <v>0.052251186543372</v>
      </c>
    </row>
    <row r="30" customFormat="false" ht="15.75" hidden="false" customHeight="false" outlineLevel="0" collapsed="false">
      <c r="B30" s="67" t="s">
        <v>5</v>
      </c>
      <c r="C30" s="2" t="n">
        <v>8.7</v>
      </c>
      <c r="D30" s="2" t="n">
        <v>9.37</v>
      </c>
      <c r="E30" s="2" t="n">
        <v>10.04</v>
      </c>
      <c r="F30" s="2" t="n">
        <v>10.76</v>
      </c>
      <c r="G30" s="2" t="n">
        <v>10.78</v>
      </c>
      <c r="H30" s="2" t="n">
        <v>11.67</v>
      </c>
      <c r="I30" s="2" t="n">
        <v>11.93</v>
      </c>
      <c r="J30" s="74" t="n">
        <v>12.27</v>
      </c>
      <c r="K30" s="74" t="n">
        <v>14.31</v>
      </c>
      <c r="L30" s="74" t="n">
        <v>15.32</v>
      </c>
      <c r="M30" s="2" t="n">
        <v>15.53</v>
      </c>
      <c r="N30" s="2" t="n">
        <v>15.86</v>
      </c>
      <c r="O30" s="3" t="n">
        <f aca="false">IFERROR(LOOKUP(9^9,C30:N30),"")</f>
        <v>15.86</v>
      </c>
      <c r="P30" s="3" t="n">
        <f aca="false">AVERAGE(C30:N30)</f>
        <v>12.2116666666667</v>
      </c>
      <c r="Q30" s="3" t="n">
        <f aca="false">MEDIAN(C30:N30)</f>
        <v>11.8</v>
      </c>
    </row>
    <row r="31" customFormat="false" ht="15.75" hidden="false" customHeight="false" outlineLevel="0" collapsed="false">
      <c r="B31" s="69" t="s">
        <v>46</v>
      </c>
      <c r="C31" s="75"/>
      <c r="D31" s="75" t="n">
        <f aca="false">IF(D30&gt;0,D30-C30,"")</f>
        <v>0.67</v>
      </c>
      <c r="E31" s="75" t="n">
        <f aca="false">IF(E30&gt;0,E30-D30,"")</f>
        <v>0.67</v>
      </c>
      <c r="F31" s="75" t="n">
        <f aca="false">IF(F30&gt;0,F30-E30,"")</f>
        <v>0.720000000000001</v>
      </c>
      <c r="G31" s="75" t="n">
        <f aca="false">IF(G30&gt;0,G30-F30,"")</f>
        <v>0.0199999999999996</v>
      </c>
      <c r="H31" s="75" t="n">
        <f aca="false">IF(H30&gt;0,H30-G30,"")</f>
        <v>0.890000000000001</v>
      </c>
      <c r="I31" s="75" t="n">
        <f aca="false">IF(I30&gt;0,I30-H30,"")</f>
        <v>0.26</v>
      </c>
      <c r="J31" s="71" t="n">
        <f aca="false">IF(J30&gt;0,J30-I30,"")</f>
        <v>0.34</v>
      </c>
      <c r="K31" s="71" t="n">
        <f aca="false">IF(K30&gt;0,K30-J30,"")</f>
        <v>2.04</v>
      </c>
      <c r="L31" s="71" t="n">
        <f aca="false">IF(L30&gt;0,L30-K30,"")</f>
        <v>1.01</v>
      </c>
      <c r="M31" s="71" t="n">
        <f aca="false">IF(M30&gt;0,M30-L30,"")</f>
        <v>0.209999999999999</v>
      </c>
      <c r="N31" s="75" t="n">
        <f aca="false">IF(N30&gt;0,N30-M30,"")</f>
        <v>0.33</v>
      </c>
      <c r="O31" s="69" t="n">
        <f aca="false">SUM(C31:N31)</f>
        <v>7.16</v>
      </c>
      <c r="P31" s="69" t="n">
        <f aca="false">AVERAGE(C31:N31)</f>
        <v>0.650909090909091</v>
      </c>
      <c r="Q31" s="69" t="n">
        <f aca="false">MEDIAN(C31:N31)</f>
        <v>0.67</v>
      </c>
    </row>
    <row r="32" customFormat="false" ht="15.75" hidden="false" customHeight="false" outlineLevel="0" collapsed="false">
      <c r="B32" s="69" t="s">
        <v>44</v>
      </c>
      <c r="C32" s="75"/>
      <c r="D32" s="76" t="n">
        <f aca="false">IF(D30&gt;0,(D30-C30)/C30,"")</f>
        <v>0.0770114942528736</v>
      </c>
      <c r="E32" s="76" t="n">
        <f aca="false">IF(E30&gt;0,(E30-D30)/D30,"")</f>
        <v>0.0715048025613661</v>
      </c>
      <c r="F32" s="76" t="n">
        <f aca="false">IF(F30&gt;0,(F30-E30)/E30,"")</f>
        <v>0.0717131474103586</v>
      </c>
      <c r="G32" s="76" t="n">
        <f aca="false">IF(G30&gt;0,(G30-F30)/F30,"")</f>
        <v>0.00185873605947951</v>
      </c>
      <c r="H32" s="76" t="n">
        <f aca="false">IF(H30&gt;0,(H30-G30)/G30,"")</f>
        <v>0.0825602968460112</v>
      </c>
      <c r="I32" s="76" t="n">
        <f aca="false">IF(I30&gt;0,(I30-H30)/H30,"")</f>
        <v>0.0222793487574978</v>
      </c>
      <c r="J32" s="76" t="n">
        <f aca="false">IF(J30&gt;0,(J30-I30)/I30,"")</f>
        <v>0.0284995808885163</v>
      </c>
      <c r="K32" s="76" t="n">
        <f aca="false">IF(K30&gt;0,(K30-J30)/J30,"")</f>
        <v>0.166259168704157</v>
      </c>
      <c r="L32" s="76" t="n">
        <f aca="false">IF(L30&gt;0,(L30-K30)/K30,"")</f>
        <v>0.0705800139762404</v>
      </c>
      <c r="M32" s="76" t="n">
        <f aca="false">IF(M30&gt;0,(M30-L30)/L30,"")</f>
        <v>0.0137075718015665</v>
      </c>
      <c r="N32" s="76" t="n">
        <f aca="false">IF(N30&gt;0,(N30-M30)/M30,"")</f>
        <v>0.021249195106246</v>
      </c>
      <c r="O32" s="69" t="s">
        <v>42</v>
      </c>
      <c r="P32" s="72" t="n">
        <f aca="false">AVERAGE(C32:N32)</f>
        <v>0.0570203051240284</v>
      </c>
      <c r="Q32" s="72" t="n">
        <f aca="false">MEDIAN(C32:N32)</f>
        <v>0.0705800139762404</v>
      </c>
    </row>
    <row r="33" customFormat="false" ht="15.75" hidden="false" customHeight="false" outlineLevel="0" collapsed="false">
      <c r="B33" s="2" t="s">
        <v>1</v>
      </c>
      <c r="C33" s="2" t="n">
        <v>3723</v>
      </c>
      <c r="D33" s="2" t="n">
        <v>5374</v>
      </c>
      <c r="E33" s="2" t="n">
        <v>5107</v>
      </c>
      <c r="F33" s="2" t="n">
        <v>4305</v>
      </c>
      <c r="G33" s="2" t="n">
        <v>3553</v>
      </c>
      <c r="H33" s="2" t="n">
        <v>4936</v>
      </c>
      <c r="I33" s="74" t="n">
        <v>5077</v>
      </c>
      <c r="J33" s="74" t="n">
        <v>4502</v>
      </c>
      <c r="K33" s="74" t="n">
        <v>5683</v>
      </c>
      <c r="L33" s="74" t="n">
        <v>4619</v>
      </c>
      <c r="M33" s="74" t="n">
        <v>4672</v>
      </c>
      <c r="N33" s="2" t="n">
        <v>4502</v>
      </c>
      <c r="O33" s="0" t="n">
        <f aca="false">SUM(C33:N33)</f>
        <v>56053</v>
      </c>
      <c r="P33" s="0" t="n">
        <f aca="false">AVERAGE(C33:N33)</f>
        <v>4671.08333333333</v>
      </c>
      <c r="Q33" s="0" t="n">
        <f aca="false">MEDIAN(C33:N33)</f>
        <v>4645.5</v>
      </c>
    </row>
    <row r="34" customFormat="false" ht="15.75" hidden="false" customHeight="false" outlineLevel="0" collapsed="false">
      <c r="B34" s="69" t="s">
        <v>44</v>
      </c>
      <c r="C34" s="80"/>
      <c r="D34" s="78" t="n">
        <f aca="false">IF(D33&gt;0,(D33-C33)/C33,"")</f>
        <v>0.443459575611066</v>
      </c>
      <c r="E34" s="78" t="n">
        <f aca="false">IF(E33&gt;0,(E33-D33)/D33,"")</f>
        <v>-0.0496836620766654</v>
      </c>
      <c r="F34" s="78" t="n">
        <f aca="false">IF(F33&gt;0,(F33-E33)/E33,"")</f>
        <v>-0.157039357744273</v>
      </c>
      <c r="G34" s="78" t="n">
        <f aca="false">IF(G33&gt;0,(G33-F33)/F33,"")</f>
        <v>-0.174680603948897</v>
      </c>
      <c r="H34" s="78" t="n">
        <f aca="false">IF(H33&gt;0,(H33-G33)/G33,"")</f>
        <v>0.389248522375457</v>
      </c>
      <c r="I34" s="78" t="n">
        <f aca="false">IF(I33&gt;0,(I33-H33)/H33,"")</f>
        <v>0.0285656401944895</v>
      </c>
      <c r="J34" s="78" t="n">
        <f aca="false">IF(J33&gt;0,(J33-I33)/I33,"")</f>
        <v>-0.113255859759701</v>
      </c>
      <c r="K34" s="78" t="n">
        <f aca="false">IF(K33&gt;0,(K33-J33)/J33,"")</f>
        <v>0.262327854286984</v>
      </c>
      <c r="L34" s="78" t="n">
        <f aca="false">IF(L33&gt;0,(L33-K33)/K33,"")</f>
        <v>-0.187225057188105</v>
      </c>
      <c r="M34" s="78" t="n">
        <f aca="false">IF(M33&gt;0,(M33-L33)/L33,"")</f>
        <v>0.0114743450963412</v>
      </c>
      <c r="N34" s="78" t="n">
        <f aca="false">IF(N33&gt;0,(N33-M33)/M33,"")</f>
        <v>-0.0363869863013699</v>
      </c>
      <c r="O34" s="78" t="n">
        <f aca="false">SUM(C34:N34)</f>
        <v>0.416804410545328</v>
      </c>
      <c r="P34" s="78" t="n">
        <f aca="false">AVERAGE(C34:N34)</f>
        <v>0.0378913100495753</v>
      </c>
      <c r="Q34" s="78" t="n">
        <f aca="false">MEDIAN(C34:N34)</f>
        <v>-0.0363869863013699</v>
      </c>
    </row>
    <row r="35" customFormat="false" ht="15.75" hidden="false" customHeight="false" outlineLevel="0" collapsed="false">
      <c r="B35" s="2" t="s">
        <v>2</v>
      </c>
      <c r="C35" s="2" t="n">
        <v>4417</v>
      </c>
      <c r="D35" s="2" t="n">
        <v>6081</v>
      </c>
      <c r="E35" s="2" t="n">
        <v>5107</v>
      </c>
      <c r="F35" s="2" t="n">
        <v>4305</v>
      </c>
      <c r="G35" s="2" t="n">
        <v>3867</v>
      </c>
      <c r="H35" s="2" t="n">
        <v>7938</v>
      </c>
      <c r="I35" s="2" t="n">
        <v>5876</v>
      </c>
      <c r="J35" s="2" t="n">
        <v>5364</v>
      </c>
      <c r="K35" s="2" t="n">
        <v>4883</v>
      </c>
      <c r="L35" s="2" t="n">
        <v>5418</v>
      </c>
      <c r="M35" s="2" t="n">
        <v>5438</v>
      </c>
      <c r="N35" s="2" t="n">
        <v>5301</v>
      </c>
      <c r="O35" s="0" t="n">
        <f aca="false">SUM(C35:N35)</f>
        <v>63995</v>
      </c>
      <c r="P35" s="0" t="n">
        <f aca="false">AVERAGE(C35:N35)</f>
        <v>5332.91666666667</v>
      </c>
      <c r="Q35" s="0" t="n">
        <f aca="false">MEDIAN(C35:N35)</f>
        <v>5332.5</v>
      </c>
    </row>
    <row r="36" customFormat="false" ht="15.75" hidden="false" customHeight="false" outlineLevel="0" collapsed="false">
      <c r="B36" s="69" t="s">
        <v>44</v>
      </c>
      <c r="C36" s="80"/>
      <c r="D36" s="78" t="n">
        <f aca="false">IF(D35&gt;0,(D35-C35)/C35,"")</f>
        <v>0.376726284808694</v>
      </c>
      <c r="E36" s="78" t="n">
        <f aca="false">IF(E35&gt;0,(E35-D35)/D35,"")</f>
        <v>-0.160171024502549</v>
      </c>
      <c r="F36" s="78" t="n">
        <f aca="false">IF(F35&gt;0,(F35-E35)/E35,"")</f>
        <v>-0.157039357744273</v>
      </c>
      <c r="G36" s="78" t="n">
        <f aca="false">IF(G35&gt;0,(G35-F35)/F35,"")</f>
        <v>-0.101742160278746</v>
      </c>
      <c r="H36" s="78" t="n">
        <f aca="false">IF(H35&gt;0,(H35-G35)/G35,"")</f>
        <v>1.05275407292475</v>
      </c>
      <c r="I36" s="78" t="n">
        <f aca="false">IF(I35&gt;0,(I35-H35)/H35,"")</f>
        <v>-0.259763164525069</v>
      </c>
      <c r="J36" s="78" t="n">
        <f aca="false">IF(J35&gt;0,(J35-I35)/I35,"")</f>
        <v>-0.0871341048332199</v>
      </c>
      <c r="K36" s="78" t="n">
        <f aca="false">IF(K35&gt;0,(K35-J35)/J35,"")</f>
        <v>-0.0896718866517524</v>
      </c>
      <c r="L36" s="78" t="n">
        <f aca="false">IF(L35&gt;0,(L35-K35)/K35,"")</f>
        <v>0.109563792750358</v>
      </c>
      <c r="M36" s="78" t="n">
        <f aca="false">IF(M35&gt;0,(M35-L35)/L35,"")</f>
        <v>0.00369139904023625</v>
      </c>
      <c r="N36" s="78" t="n">
        <f aca="false">IF(N35&gt;0,(N35-M35)/M35,"")</f>
        <v>-0.0251930856932696</v>
      </c>
      <c r="O36" s="78" t="n">
        <f aca="false">SUM(C36:N36)</f>
        <v>0.662020765295158</v>
      </c>
      <c r="P36" s="78" t="n">
        <f aca="false">AVERAGE(C36:N36)</f>
        <v>0.0601837059359234</v>
      </c>
      <c r="Q36" s="78" t="n">
        <f aca="false">MEDIAN(C36:N36)</f>
        <v>-0.0871341048332199</v>
      </c>
    </row>
    <row r="37" customFormat="false" ht="15.75" hidden="false" customHeight="false" outlineLevel="0" collapsed="false">
      <c r="B37" s="2" t="s">
        <v>3</v>
      </c>
      <c r="C37" s="2" t="n">
        <v>9008</v>
      </c>
      <c r="D37" s="2" t="n">
        <v>9000</v>
      </c>
      <c r="E37" s="2" t="n">
        <v>19952</v>
      </c>
      <c r="F37" s="2" t="n">
        <v>9738</v>
      </c>
      <c r="G37" s="2" t="n">
        <v>9476</v>
      </c>
      <c r="H37" s="2" t="n">
        <v>9899</v>
      </c>
      <c r="I37" s="77" t="n">
        <v>13568</v>
      </c>
      <c r="J37" s="2" t="n">
        <v>9569</v>
      </c>
      <c r="K37" s="74" t="n">
        <v>11820</v>
      </c>
      <c r="L37" s="74" t="n">
        <v>12241</v>
      </c>
      <c r="M37" s="74" t="n">
        <v>11050</v>
      </c>
      <c r="N37" s="2" t="n">
        <v>11756</v>
      </c>
      <c r="O37" s="0" t="n">
        <f aca="false">SUM(C37:N37)</f>
        <v>137077</v>
      </c>
      <c r="P37" s="0" t="n">
        <f aca="false">AVERAGE(C37:N37)</f>
        <v>11423.0833333333</v>
      </c>
      <c r="Q37" s="0" t="n">
        <f aca="false">MEDIAN(C37:N37)</f>
        <v>10474.5</v>
      </c>
    </row>
    <row r="38" customFormat="false" ht="15.75" hidden="false" customHeight="false" outlineLevel="0" collapsed="false">
      <c r="B38" s="69" t="s">
        <v>44</v>
      </c>
      <c r="C38" s="80"/>
      <c r="D38" s="78" t="n">
        <f aca="false">IF(D37&gt;0,(D37-C37)/C37,"")</f>
        <v>-0.00088809946714032</v>
      </c>
      <c r="E38" s="78" t="n">
        <f aca="false">IF(E37&gt;0,(E37-D37)/D37,"")</f>
        <v>1.21688888888889</v>
      </c>
      <c r="F38" s="78" t="n">
        <f aca="false">IF(F37&gt;0,(F37-E37)/E37,"")</f>
        <v>-0.511928628708901</v>
      </c>
      <c r="G38" s="78" t="n">
        <f aca="false">IF(G37&gt;0,(G37-F37)/F37,"")</f>
        <v>-0.0269049086054631</v>
      </c>
      <c r="H38" s="78" t="n">
        <f aca="false">IF(H37&gt;0,(H37-G37)/G37,"")</f>
        <v>0.0446390882228789</v>
      </c>
      <c r="I38" s="78" t="n">
        <f aca="false">IF(I37&gt;0,(I37-H37)/H37,"")</f>
        <v>0.370643499343368</v>
      </c>
      <c r="J38" s="78" t="n">
        <f aca="false">IF(J37&gt;0,(J37-I37)/I37,"")</f>
        <v>-0.294737617924528</v>
      </c>
      <c r="K38" s="78" t="n">
        <f aca="false">IF(K37&gt;0,(K37-J37)/J37,"")</f>
        <v>0.235238791932281</v>
      </c>
      <c r="L38" s="78" t="n">
        <f aca="false">IF(L37&gt;0,(L37-K37)/K37,"")</f>
        <v>0.0356175972927242</v>
      </c>
      <c r="M38" s="78" t="n">
        <f aca="false">IF(M37&gt;0,(M37-L37)/L37,"")</f>
        <v>-0.0972959725512622</v>
      </c>
      <c r="N38" s="78" t="n">
        <f aca="false">IF(N37&gt;0,(N37-M37)/M37,"")</f>
        <v>0.0638914027149321</v>
      </c>
      <c r="O38" s="78" t="n">
        <f aca="false">SUM(C38:N38)</f>
        <v>1.03516404113778</v>
      </c>
      <c r="P38" s="78" t="n">
        <f aca="false">AVERAGE(C38:N38)</f>
        <v>0.0941058219216162</v>
      </c>
      <c r="Q38" s="78" t="n">
        <f aca="false">MEDIAN(C38:N38)</f>
        <v>0.0356175972927242</v>
      </c>
    </row>
    <row r="39" customFormat="false" ht="15.75" hidden="false" customHeight="false" outlineLevel="0" collapsed="false">
      <c r="B39" s="2" t="s">
        <v>47</v>
      </c>
      <c r="C39" s="79" t="n">
        <f aca="false">IF(C35&gt;0,MAX(0,(C37-C35)/C37),"")</f>
        <v>0.509658081705151</v>
      </c>
      <c r="D39" s="79" t="n">
        <f aca="false">IF(D35&gt;0,MAX(0,(D37-D35)/D37),"")</f>
        <v>0.324333333333333</v>
      </c>
      <c r="E39" s="79" t="n">
        <f aca="false">IF(E35&gt;0,MAX(0,(E37-E35)/E37),"")</f>
        <v>0.744035685645549</v>
      </c>
      <c r="F39" s="79" t="n">
        <f aca="false">IF(F35&gt;0,MAX(0,(F37-F35)/F37),"")</f>
        <v>0.557917436845348</v>
      </c>
      <c r="G39" s="79" t="n">
        <f aca="false">IF(G35&gt;0,MAX(0,(G37-G35)/G37),"")</f>
        <v>0.591916420430561</v>
      </c>
      <c r="H39" s="79" t="n">
        <f aca="false">IF(H35&gt;0,MAX(0,(H37-H35)/H37),"")</f>
        <v>0.198100818264471</v>
      </c>
      <c r="I39" s="79" t="n">
        <f aca="false">IF(I35&gt;0,MAX(0,(I37-I35)/I37),"")</f>
        <v>0.566922169811321</v>
      </c>
      <c r="J39" s="79" t="n">
        <f aca="false">IF(J35&gt;0,MAX(0,(J37-J35)/J37),"")</f>
        <v>0.439439857874386</v>
      </c>
      <c r="K39" s="79" t="n">
        <f aca="false">IF(K35&gt;0,MAX(0,(K37-K35)/K37),"")</f>
        <v>0.586886632825719</v>
      </c>
      <c r="L39" s="79" t="n">
        <f aca="false">IF(L35&gt;0,MAX(0,(L37-L35)/L37),"")</f>
        <v>0.557389102197533</v>
      </c>
      <c r="M39" s="79" t="n">
        <f aca="false">IF(M35&gt;0,MAX(0,(M37-M35)/M37),"")</f>
        <v>0.507873303167421</v>
      </c>
      <c r="N39" s="79" t="n">
        <f aca="false">IF(N35&gt;0,MAX(0,(N37-N35)/N37),"")</f>
        <v>0.549081320176931</v>
      </c>
      <c r="O39" s="79" t="n">
        <f aca="false">IF(O35&gt;0,MAX(0,(O37-O35)/O37),"")</f>
        <v>0.533145604295396</v>
      </c>
      <c r="P39" s="79" t="n">
        <f aca="false">AVERAGE(C39:N39)</f>
        <v>0.511129513523144</v>
      </c>
      <c r="Q39" s="79" t="n">
        <f aca="false">MEDIAN(C39:N39)</f>
        <v>0.553235211187232</v>
      </c>
    </row>
    <row r="40" customFormat="false" ht="15.75" hidden="false" customHeight="false" outlineLevel="0" collapsed="false">
      <c r="B40" s="69" t="s">
        <v>44</v>
      </c>
      <c r="C40" s="80"/>
      <c r="D40" s="91" t="n">
        <f aca="false">IF(ISBLANK(D35),"",IF(C39=0,100,(D39-C39)/C39))</f>
        <v>-0.363625644376679</v>
      </c>
      <c r="E40" s="91" t="n">
        <f aca="false">IF(ISBLANK(E35),"",IF(D39=0,100,(E39-D39)/D39))</f>
        <v>1.29404630723191</v>
      </c>
      <c r="F40" s="91" t="n">
        <f aca="false">IF(ISBLANK(F35),"",IF(E39=0,100,(F39-E39)/E39))</f>
        <v>-0.250146938367236</v>
      </c>
      <c r="G40" s="91" t="n">
        <f aca="false">IF(ISBLANK(G35),"",IF(F39=0,100,(G39-F39)/F39))</f>
        <v>0.0609390948192171</v>
      </c>
      <c r="H40" s="91" t="n">
        <f aca="false">IF(ISBLANK(H35),"",IF(G39=0,100,(H39-G39)/G39))</f>
        <v>-0.665322989147062</v>
      </c>
      <c r="I40" s="91" t="n">
        <f aca="false">IF(ISBLANK(I35),"",IF(H39=0,100,(I39-H39)/H39))</f>
        <v>1.86178610859881</v>
      </c>
      <c r="J40" s="91" t="n">
        <f aca="false">IF(ISBLANK(J35),"",IF(I39=0,100,(J39-I39)/I39))</f>
        <v>-0.224867395782674</v>
      </c>
      <c r="K40" s="91" t="n">
        <f aca="false">IF(ISBLANK(K35),"",IF(J39=0,100,(K39-J39)/J39))</f>
        <v>0.335533457671654</v>
      </c>
      <c r="L40" s="91" t="n">
        <f aca="false">IF(ISBLANK(L35),"",IF(K39=0,100,(L39-K39)/K39))</f>
        <v>-0.0502610367630331</v>
      </c>
      <c r="M40" s="91" t="n">
        <f aca="false">IF(ISBLANK(M35),"",IF(L39=0,100,(M39-L39)/L39))</f>
        <v>-0.0888352478275834</v>
      </c>
      <c r="N40" s="91" t="n">
        <f aca="false">IF(ISBLANK(N35),"",IF(M39=0,100,(N39-M39)/M39))</f>
        <v>0.0811383798922106</v>
      </c>
      <c r="O40" s="73" t="s">
        <v>42</v>
      </c>
      <c r="P40" s="78" t="n">
        <f aca="false">AVERAGE(C40:N40)</f>
        <v>0.180944008722685</v>
      </c>
      <c r="Q40" s="78" t="n">
        <f aca="false">MEDIAN(C40:N40)</f>
        <v>-0.0502610367630331</v>
      </c>
    </row>
    <row r="45" customFormat="false" ht="15.75" hidden="false" customHeight="false" outlineLevel="0" collapsed="false">
      <c r="C45" s="2" t="s">
        <v>27</v>
      </c>
      <c r="D45" s="2" t="s">
        <v>28</v>
      </c>
      <c r="E45" s="2" t="s">
        <v>29</v>
      </c>
      <c r="F45" s="2" t="s">
        <v>30</v>
      </c>
      <c r="G45" s="2" t="s">
        <v>31</v>
      </c>
      <c r="H45" s="2" t="s">
        <v>32</v>
      </c>
      <c r="I45" s="2" t="s">
        <v>33</v>
      </c>
      <c r="J45" s="2" t="s">
        <v>34</v>
      </c>
      <c r="K45" s="2" t="s">
        <v>35</v>
      </c>
      <c r="L45" s="2" t="s">
        <v>36</v>
      </c>
      <c r="M45" s="2" t="s">
        <v>37</v>
      </c>
      <c r="N45" s="2" t="s">
        <v>38</v>
      </c>
      <c r="O45" s="2" t="s">
        <v>39</v>
      </c>
    </row>
    <row r="46" customFormat="false" ht="15.75" hidden="false" customHeight="false" outlineLevel="0" collapsed="false">
      <c r="B46" s="83" t="s">
        <v>229</v>
      </c>
      <c r="C46" s="2" t="n">
        <v>0</v>
      </c>
      <c r="D46" s="2" t="n">
        <v>0</v>
      </c>
      <c r="E46" s="2" t="n">
        <v>0</v>
      </c>
      <c r="F46" s="2" t="n">
        <v>0</v>
      </c>
      <c r="G46" s="2" t="n">
        <v>0</v>
      </c>
      <c r="H46" s="2" t="n">
        <v>0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0" t="n">
        <f aca="false">SUM(C46:N46)</f>
        <v>0</v>
      </c>
      <c r="P46" s="79" t="n">
        <f aca="false">O46/$O$50</f>
        <v>0</v>
      </c>
    </row>
    <row r="47" customFormat="false" ht="15.75" hidden="false" customHeight="false" outlineLevel="0" collapsed="false">
      <c r="B47" s="83" t="s">
        <v>230</v>
      </c>
      <c r="C47" s="2" t="n">
        <v>1000</v>
      </c>
      <c r="D47" s="2" t="n">
        <v>19810</v>
      </c>
      <c r="E47" s="2" t="n">
        <v>0</v>
      </c>
      <c r="F47" s="2" t="n">
        <v>10000</v>
      </c>
      <c r="G47" s="2" t="n">
        <v>4500</v>
      </c>
      <c r="H47" s="2" t="n">
        <v>0</v>
      </c>
      <c r="I47" s="2" t="n">
        <v>4103</v>
      </c>
      <c r="J47" s="2" t="n">
        <v>21000</v>
      </c>
      <c r="K47" s="2" t="n">
        <v>0</v>
      </c>
      <c r="L47" s="2" t="n">
        <v>0</v>
      </c>
      <c r="M47" s="2" t="n">
        <v>0</v>
      </c>
      <c r="N47" s="2" t="n">
        <v>0</v>
      </c>
      <c r="O47" s="0" t="n">
        <f aca="false">SUM(C47:N47)</f>
        <v>60413</v>
      </c>
      <c r="P47" s="79" t="n">
        <f aca="false">O47/$O$50</f>
        <v>0.879976368105215</v>
      </c>
    </row>
    <row r="48" customFormat="false" ht="15.75" hidden="false" customHeight="false" outlineLevel="0" collapsed="false">
      <c r="B48" s="83" t="s">
        <v>231</v>
      </c>
      <c r="C48" s="2" t="n">
        <v>0</v>
      </c>
      <c r="D48" s="2" t="n">
        <v>0</v>
      </c>
      <c r="E48" s="2" t="n">
        <v>3226</v>
      </c>
      <c r="F48" s="2" t="n">
        <v>0</v>
      </c>
      <c r="G48" s="2" t="n">
        <v>0</v>
      </c>
      <c r="H48" s="2" t="n">
        <v>0</v>
      </c>
      <c r="I48" s="2" t="n">
        <v>0</v>
      </c>
      <c r="J48" s="2" t="n">
        <v>0</v>
      </c>
      <c r="K48" s="2" t="n">
        <v>0</v>
      </c>
      <c r="L48" s="2" t="n">
        <v>0</v>
      </c>
      <c r="M48" s="2" t="n">
        <v>0</v>
      </c>
      <c r="N48" s="2" t="n">
        <v>0</v>
      </c>
      <c r="O48" s="0" t="n">
        <f aca="false">SUM(C48:N48)</f>
        <v>3226</v>
      </c>
      <c r="P48" s="79" t="n">
        <f aca="false">O48/$O$50</f>
        <v>0.0469899485790711</v>
      </c>
    </row>
    <row r="49" customFormat="false" ht="15.75" hidden="false" customHeight="false" outlineLevel="0" collapsed="false">
      <c r="B49" s="83" t="s">
        <v>232</v>
      </c>
      <c r="C49" s="2" t="n">
        <f aca="false">226.92</f>
        <v>226.92</v>
      </c>
      <c r="D49" s="2" t="n">
        <v>0</v>
      </c>
      <c r="E49" s="2" t="n">
        <v>204.55</v>
      </c>
      <c r="F49" s="2" t="n">
        <f aca="false">4*113+3.2*113</f>
        <v>813.6</v>
      </c>
      <c r="G49" s="2" t="n">
        <f aca="false">224.98+112.47+225</f>
        <v>562.45</v>
      </c>
      <c r="H49" s="2" t="n">
        <f aca="false">222.17+222.18</f>
        <v>444.35</v>
      </c>
      <c r="I49" s="2" t="n">
        <f aca="false">221.28+221.26</f>
        <v>442.54</v>
      </c>
      <c r="J49" s="2" t="n">
        <f aca="false">434.57</f>
        <v>434.57</v>
      </c>
      <c r="K49" s="2" t="n">
        <f aca="false">217.32+217.32+217.33</f>
        <v>651.97</v>
      </c>
      <c r="L49" s="2" t="n">
        <f aca="false">220.64+220.63+132.35</f>
        <v>573.62</v>
      </c>
      <c r="M49" s="2" t="n">
        <f aca="false">219.79*2+219.83</f>
        <v>659.41</v>
      </c>
      <c r="N49" s="2" t="n">
        <v>0</v>
      </c>
      <c r="O49" s="0" t="n">
        <f aca="false">SUM(C49:N49)</f>
        <v>5013.98</v>
      </c>
      <c r="P49" s="79" t="n">
        <f aca="false">O49/$O$50</f>
        <v>0.0730336833157133</v>
      </c>
    </row>
    <row r="50" customFormat="false" ht="15.75" hidden="false" customHeight="false" outlineLevel="0" collapsed="false">
      <c r="B50" s="83" t="s">
        <v>39</v>
      </c>
      <c r="C50" s="2" t="n">
        <f aca="false">SUM(C46:C49)</f>
        <v>1226.92</v>
      </c>
      <c r="D50" s="2" t="n">
        <f aca="false">SUM(D46:D49)</f>
        <v>19810</v>
      </c>
      <c r="E50" s="2" t="n">
        <f aca="false">SUM(E46:E49)</f>
        <v>3430.55</v>
      </c>
      <c r="F50" s="2" t="n">
        <f aca="false">SUM(F46:F49)</f>
        <v>10813.6</v>
      </c>
      <c r="G50" s="2" t="n">
        <f aca="false">SUM(G46:G49)</f>
        <v>5062.45</v>
      </c>
      <c r="H50" s="2" t="n">
        <f aca="false">SUM(H46:H49)</f>
        <v>444.35</v>
      </c>
      <c r="I50" s="2" t="n">
        <f aca="false">SUM(I46:I49)</f>
        <v>4545.54</v>
      </c>
      <c r="J50" s="2" t="n">
        <f aca="false">SUM(J46:J49)</f>
        <v>21434.57</v>
      </c>
      <c r="K50" s="2" t="n">
        <f aca="false">SUM(K46:K49)</f>
        <v>651.97</v>
      </c>
      <c r="L50" s="2" t="n">
        <f aca="false">SUM(L46:L49)</f>
        <v>573.62</v>
      </c>
      <c r="M50" s="2" t="n">
        <f aca="false">SUM(M46:M49)</f>
        <v>659.41</v>
      </c>
      <c r="N50" s="2" t="n">
        <f aca="false">SUM(N46:N49)</f>
        <v>0</v>
      </c>
      <c r="O50" s="0" t="n">
        <f aca="false">SUM(C50:N50)</f>
        <v>68652.98</v>
      </c>
    </row>
    <row r="53" customFormat="false" ht="15.75" hidden="false" customHeight="false" outlineLevel="0" collapsed="false">
      <c r="B53" s="2" t="s">
        <v>173</v>
      </c>
      <c r="C53" s="108" t="s">
        <v>27</v>
      </c>
      <c r="D53" s="2" t="s">
        <v>28</v>
      </c>
      <c r="E53" s="2" t="s">
        <v>29</v>
      </c>
      <c r="F53" s="2" t="s">
        <v>30</v>
      </c>
      <c r="G53" s="2" t="s">
        <v>31</v>
      </c>
      <c r="H53" s="2" t="s">
        <v>32</v>
      </c>
      <c r="I53" s="2" t="s">
        <v>33</v>
      </c>
      <c r="J53" s="2" t="s">
        <v>34</v>
      </c>
      <c r="K53" s="2" t="s">
        <v>35</v>
      </c>
      <c r="L53" s="2" t="s">
        <v>36</v>
      </c>
      <c r="M53" s="2" t="s">
        <v>37</v>
      </c>
      <c r="N53" s="2" t="s">
        <v>38</v>
      </c>
      <c r="O53" s="2" t="s">
        <v>39</v>
      </c>
    </row>
    <row r="54" customFormat="false" ht="15.75" hidden="false" customHeight="false" outlineLevel="0" collapsed="false">
      <c r="B54" s="2" t="s">
        <v>174</v>
      </c>
      <c r="C54" s="2" t="n">
        <v>2</v>
      </c>
      <c r="D54" s="2" t="n">
        <v>4</v>
      </c>
      <c r="E54" s="2" t="n">
        <v>4</v>
      </c>
      <c r="F54" s="2" t="n">
        <v>2</v>
      </c>
      <c r="G54" s="2" t="n">
        <v>2</v>
      </c>
      <c r="H54" s="2" t="n">
        <v>9</v>
      </c>
      <c r="I54" s="2" t="n">
        <v>3</v>
      </c>
      <c r="J54" s="2" t="n">
        <v>2</v>
      </c>
      <c r="K54" s="2" t="n">
        <v>15</v>
      </c>
      <c r="L54" s="2" t="n">
        <v>1</v>
      </c>
      <c r="M54" s="2" t="n">
        <v>1</v>
      </c>
      <c r="N54" s="2" t="n">
        <v>1</v>
      </c>
      <c r="O54" s="0" t="n">
        <f aca="false">SUM(C54:N54)</f>
        <v>46</v>
      </c>
    </row>
    <row r="55" customFormat="false" ht="15.75" hidden="false" customHeight="false" outlineLevel="0" collapsed="false">
      <c r="B55" s="2" t="s">
        <v>39</v>
      </c>
      <c r="C55" s="0" t="n">
        <f aca="true">IF(MONTH(NOW())=1,DAY(NOW()),31)-C54</f>
        <v>29</v>
      </c>
      <c r="D55" s="0" t="n">
        <f aca="true">IF(MONTH(NOW())=2,DAY(NOW()),28)-D54</f>
        <v>24</v>
      </c>
      <c r="E55" s="0" t="n">
        <f aca="true">IF(MONTH(NOW())=3,DAY(NOW()),31)-E54</f>
        <v>27</v>
      </c>
      <c r="F55" s="0" t="n">
        <f aca="true">IF(MONTH(NOW())=4,DAY(NOW()),30)-F54</f>
        <v>28</v>
      </c>
      <c r="G55" s="0" t="n">
        <f aca="true">IF(MONTH(NOW())=5,DAY(NOW()),31)-F54</f>
        <v>15</v>
      </c>
      <c r="H55" s="0" t="n">
        <f aca="true">IF(MONTH(NOW())=6,DAY(NOW()),30)-H54</f>
        <v>21</v>
      </c>
      <c r="I55" s="0" t="n">
        <f aca="true">IF(MONTH(NOW())=7,DAY(NOW()),31)-I54</f>
        <v>28</v>
      </c>
      <c r="J55" s="0" t="n">
        <f aca="true">IF(MONTH(NOW())=8,DAY(NOW()),30)-J54</f>
        <v>28</v>
      </c>
      <c r="K55" s="0" t="n">
        <f aca="true">IF(MONTH(NOW())=9,DAY(NOW()),30)-K54</f>
        <v>15</v>
      </c>
      <c r="L55" s="0" t="n">
        <f aca="true">IF(MONTH(NOW())=10,DAY(NOW()),31)-L54</f>
        <v>30</v>
      </c>
      <c r="M55" s="0" t="n">
        <f aca="true">IF(MONTH(NOW())=11,DAY(NOW()),30)-M54</f>
        <v>29</v>
      </c>
      <c r="N55" s="0" t="n">
        <f aca="false">31-N54</f>
        <v>30</v>
      </c>
      <c r="O55" s="0" t="n">
        <f aca="false">SUM(C55:N55)</f>
        <v>304</v>
      </c>
    </row>
    <row r="58" customFormat="false" ht="15.75" hidden="false" customHeight="false" outlineLevel="0" collapsed="false">
      <c r="C58" s="2" t="s">
        <v>233</v>
      </c>
      <c r="D58" s="2" t="s">
        <v>234</v>
      </c>
      <c r="E58" s="2" t="s">
        <v>235</v>
      </c>
      <c r="F58" s="2" t="s">
        <v>236</v>
      </c>
      <c r="G58" s="2" t="s">
        <v>237</v>
      </c>
      <c r="H58" s="2" t="s">
        <v>238</v>
      </c>
      <c r="I58" s="2" t="s">
        <v>239</v>
      </c>
      <c r="J58" s="2" t="s">
        <v>240</v>
      </c>
      <c r="K58" s="2" t="s">
        <v>241</v>
      </c>
      <c r="M58" s="2" t="s">
        <v>242</v>
      </c>
      <c r="N58" s="2" t="s">
        <v>243</v>
      </c>
    </row>
    <row r="59" customFormat="false" ht="15.75" hidden="false" customHeight="false" outlineLevel="0" collapsed="false">
      <c r="B59" s="108"/>
      <c r="C59" s="2" t="s">
        <v>244</v>
      </c>
      <c r="D59" s="2" t="s">
        <v>245</v>
      </c>
      <c r="E59" s="2" t="s">
        <v>246</v>
      </c>
      <c r="G59" s="2" t="s">
        <v>247</v>
      </c>
      <c r="H59" s="2" t="s">
        <v>248</v>
      </c>
      <c r="I59" s="2" t="s">
        <v>249</v>
      </c>
      <c r="J59" s="2" t="s">
        <v>245</v>
      </c>
    </row>
    <row r="60" customFormat="false" ht="15.75" hidden="false" customHeight="false" outlineLevel="0" collapsed="false">
      <c r="D60" s="2" t="s">
        <v>250</v>
      </c>
      <c r="H60" s="2" t="s">
        <v>251</v>
      </c>
      <c r="I60" s="2" t="s">
        <v>252</v>
      </c>
    </row>
    <row r="62" customFormat="false" ht="15.75" hidden="false" customHeight="false" outlineLevel="0" collapsed="false">
      <c r="B62" s="2" t="s">
        <v>253</v>
      </c>
      <c r="C62" s="2" t="s">
        <v>254</v>
      </c>
      <c r="D62" s="2" t="s">
        <v>255</v>
      </c>
      <c r="E62" s="2" t="s">
        <v>256</v>
      </c>
      <c r="F62" s="2" t="s">
        <v>257</v>
      </c>
      <c r="G62" s="2" t="s">
        <v>258</v>
      </c>
      <c r="H62" s="2" t="s">
        <v>259</v>
      </c>
      <c r="I62" s="2" t="s">
        <v>260</v>
      </c>
      <c r="K62" s="2" t="s">
        <v>261</v>
      </c>
      <c r="L62" s="2" t="s">
        <v>262</v>
      </c>
      <c r="M62" s="2" t="s">
        <v>263</v>
      </c>
      <c r="N62" s="2" t="s">
        <v>264</v>
      </c>
    </row>
    <row r="63" customFormat="false" ht="15.75" hidden="false" customHeight="false" outlineLevel="0" collapsed="false">
      <c r="K63" s="2" t="s">
        <v>265</v>
      </c>
    </row>
    <row r="72" customFormat="false" ht="15.75" hidden="false" customHeight="false" outlineLevel="0" collapsed="false">
      <c r="B72" s="2" t="s">
        <v>266</v>
      </c>
      <c r="C72" s="2" t="n">
        <v>0</v>
      </c>
      <c r="D72" s="2" t="n">
        <v>1</v>
      </c>
    </row>
    <row r="73" customFormat="false" ht="15.75" hidden="false" customHeight="false" outlineLevel="0" collapsed="false">
      <c r="B73" s="2" t="s">
        <v>267</v>
      </c>
      <c r="C73" s="2" t="n">
        <v>10000</v>
      </c>
      <c r="D73" s="0" t="n">
        <f aca="false">C73*108%</f>
        <v>10800</v>
      </c>
    </row>
    <row r="74" customFormat="false" ht="15.75" hidden="false" customHeight="false" outlineLevel="0" collapsed="false">
      <c r="B74" s="2" t="s">
        <v>268</v>
      </c>
      <c r="C74" s="2" t="n">
        <v>10000</v>
      </c>
      <c r="D74" s="0" t="n">
        <f aca="false">$C$74*(D72*8%+100%)</f>
        <v>10800</v>
      </c>
    </row>
    <row r="78" customFormat="false" ht="15.75" hidden="false" customHeight="false" outlineLevel="0" collapsed="false">
      <c r="B78" s="108" t="s">
        <v>269</v>
      </c>
      <c r="C78" s="120" t="e">
        <f aca="false">SUM(#REF!)</f>
        <v>#REF!</v>
      </c>
    </row>
    <row r="79" customFormat="false" ht="15.75" hidden="false" customHeight="false" outlineLevel="0" collapsed="false">
      <c r="B79" s="2" t="s">
        <v>270</v>
      </c>
      <c r="C79" s="2" t="n">
        <f aca="false">23.1-8.08</f>
        <v>15.02</v>
      </c>
      <c r="D79" s="2" t="s">
        <v>271</v>
      </c>
    </row>
    <row r="80" customFormat="false" ht="15.75" hidden="false" customHeight="false" outlineLevel="0" collapsed="false">
      <c r="B80" s="2" t="s">
        <v>270</v>
      </c>
      <c r="C80" s="2" t="n">
        <f aca="false">54.88-19.21</f>
        <v>35.67</v>
      </c>
      <c r="D80" s="2" t="s">
        <v>272</v>
      </c>
    </row>
    <row r="81" customFormat="false" ht="15.75" hidden="false" customHeight="false" outlineLevel="0" collapsed="false">
      <c r="B81" s="2" t="s">
        <v>273</v>
      </c>
      <c r="C81" s="0" t="n">
        <f aca="false">37.83-11.35</f>
        <v>26.48</v>
      </c>
      <c r="D81" s="2" t="s">
        <v>274</v>
      </c>
    </row>
    <row r="82" customFormat="false" ht="15.75" hidden="false" customHeight="false" outlineLevel="0" collapsed="false">
      <c r="B82" s="2" t="s">
        <v>275</v>
      </c>
      <c r="C82" s="0" t="n">
        <f aca="false">1/(28.1/8.43)</f>
        <v>0.3</v>
      </c>
      <c r="D82" s="2" t="s">
        <v>276</v>
      </c>
    </row>
    <row r="83" customFormat="false" ht="15.75" hidden="false" customHeight="false" outlineLevel="0" collapsed="false">
      <c r="B83" s="2" t="s">
        <v>270</v>
      </c>
      <c r="C83" s="0" t="n">
        <f aca="false">90.44-31.65</f>
        <v>58.79</v>
      </c>
      <c r="D83" s="2" t="s">
        <v>277</v>
      </c>
    </row>
    <row r="84" customFormat="false" ht="15.75" hidden="false" customHeight="false" outlineLevel="0" collapsed="false">
      <c r="B84" s="2" t="s">
        <v>270</v>
      </c>
      <c r="C84" s="0" t="n">
        <f aca="false">154.28-54</f>
        <v>100.28</v>
      </c>
      <c r="D84" s="2" t="s">
        <v>278</v>
      </c>
    </row>
    <row r="85" customFormat="false" ht="15.75" hidden="false" customHeight="false" outlineLevel="0" collapsed="false">
      <c r="B85" s="2" t="s">
        <v>270</v>
      </c>
      <c r="C85" s="0" t="n">
        <f aca="false">53.2-18.62</f>
        <v>34.58</v>
      </c>
      <c r="D85" s="2" t="s">
        <v>279</v>
      </c>
    </row>
    <row r="86" customFormat="false" ht="15.75" hidden="false" customHeight="false" outlineLevel="0" collapsed="false">
      <c r="B86" s="2" t="s">
        <v>270</v>
      </c>
      <c r="C86" s="2" t="n">
        <v>76.08</v>
      </c>
      <c r="D86" s="2" t="s">
        <v>280</v>
      </c>
    </row>
    <row r="87" customFormat="false" ht="15.75" hidden="false" customHeight="false" outlineLevel="0" collapsed="false">
      <c r="B87" s="2" t="s">
        <v>275</v>
      </c>
      <c r="C87" s="0" t="n">
        <f aca="false">440.64-66.1</f>
        <v>374.54</v>
      </c>
      <c r="D87" s="2" t="s">
        <v>281</v>
      </c>
      <c r="F87" s="2" t="s">
        <v>98</v>
      </c>
      <c r="G87" s="0" t="n">
        <f aca="false">SUM(C79:C82)</f>
        <v>77.47</v>
      </c>
    </row>
    <row r="88" customFormat="false" ht="15.75" hidden="false" customHeight="false" outlineLevel="0" collapsed="false">
      <c r="B88" s="2" t="s">
        <v>273</v>
      </c>
      <c r="C88" s="0" t="n">
        <f aca="false">52.66-7.9</f>
        <v>44.76</v>
      </c>
      <c r="D88" s="2" t="s">
        <v>282</v>
      </c>
      <c r="F88" s="2" t="s">
        <v>99</v>
      </c>
      <c r="G88" s="2" t="n">
        <f aca="false">SUM(C83:C89)</f>
        <v>719.49</v>
      </c>
    </row>
    <row r="89" customFormat="false" ht="15.75" hidden="false" customHeight="false" outlineLevel="0" collapsed="false">
      <c r="B89" s="2" t="s">
        <v>270</v>
      </c>
      <c r="C89" s="0" t="n">
        <f aca="false">42.56-12.1</f>
        <v>30.46</v>
      </c>
      <c r="D89" s="2" t="s">
        <v>283</v>
      </c>
      <c r="F89" s="2" t="s">
        <v>100</v>
      </c>
      <c r="G89" s="2" t="n">
        <f aca="false">SUM(C90:C91)</f>
        <v>374.98</v>
      </c>
    </row>
    <row r="90" customFormat="false" ht="15.75" hidden="false" customHeight="false" outlineLevel="0" collapsed="false">
      <c r="B90" s="2" t="s">
        <v>275</v>
      </c>
      <c r="C90" s="0" t="n">
        <f aca="false">369.58-55.44</f>
        <v>314.14</v>
      </c>
      <c r="D90" s="2" t="s">
        <v>284</v>
      </c>
      <c r="F90" s="2" t="s">
        <v>285</v>
      </c>
      <c r="G90" s="2" t="n">
        <v>0</v>
      </c>
    </row>
    <row r="91" customFormat="false" ht="15.75" hidden="false" customHeight="false" outlineLevel="0" collapsed="false">
      <c r="B91" s="2" t="s">
        <v>273</v>
      </c>
      <c r="C91" s="0" t="n">
        <f aca="false">71.58-10.74</f>
        <v>60.84</v>
      </c>
      <c r="D91" s="2" t="s">
        <v>286</v>
      </c>
      <c r="F91" s="2" t="s">
        <v>287</v>
      </c>
      <c r="G91" s="0" t="n">
        <f aca="false">SUM(G87:G90)</f>
        <v>1171.94</v>
      </c>
    </row>
    <row r="114" customFormat="false" ht="15.75" hidden="false" customHeight="false" outlineLevel="0" collapsed="false">
      <c r="I114" s="79"/>
    </row>
    <row r="115" customFormat="false" ht="15.75" hidden="false" customHeight="false" outlineLevel="0" collapsed="false">
      <c r="I115" s="79"/>
    </row>
    <row r="116" customFormat="false" ht="15.75" hidden="false" customHeight="false" outlineLevel="0" collapsed="false">
      <c r="I116" s="79"/>
    </row>
    <row r="117" customFormat="false" ht="15.75" hidden="false" customHeight="false" outlineLevel="0" collapsed="false">
      <c r="I117" s="79"/>
    </row>
    <row r="118" customFormat="false" ht="15.75" hidden="false" customHeight="false" outlineLevel="0" collapsed="false">
      <c r="I118" s="79"/>
    </row>
    <row r="119" customFormat="false" ht="15.75" hidden="false" customHeight="false" outlineLevel="0" collapsed="false">
      <c r="I119" s="79"/>
    </row>
    <row r="120" customFormat="false" ht="15.75" hidden="false" customHeight="false" outlineLevel="0" collapsed="false">
      <c r="I120" s="79"/>
    </row>
    <row r="121" customFormat="false" ht="15.75" hidden="false" customHeight="false" outlineLevel="0" collapsed="false">
      <c r="I121" s="79"/>
    </row>
    <row r="122" customFormat="false" ht="15.75" hidden="false" customHeight="false" outlineLevel="0" collapsed="false">
      <c r="I122" s="79"/>
    </row>
    <row r="123" customFormat="false" ht="15.75" hidden="false" customHeight="false" outlineLevel="0" collapsed="false">
      <c r="I123" s="79"/>
    </row>
    <row r="124" customFormat="false" ht="15.75" hidden="false" customHeight="false" outlineLevel="0" collapsed="false">
      <c r="I124" s="79"/>
    </row>
  </sheetData>
  <mergeCells count="37">
    <mergeCell ref="B2:D2"/>
    <mergeCell ref="B3:I3"/>
    <mergeCell ref="K3:L3"/>
    <mergeCell ref="B4:D4"/>
    <mergeCell ref="F4:I4"/>
    <mergeCell ref="B5:D5"/>
    <mergeCell ref="F5:I5"/>
    <mergeCell ref="K5:L5"/>
    <mergeCell ref="B6:D6"/>
    <mergeCell ref="B7:D7"/>
    <mergeCell ref="F7:I7"/>
    <mergeCell ref="B8:D8"/>
    <mergeCell ref="F8:I8"/>
    <mergeCell ref="B9:D9"/>
    <mergeCell ref="F9:I9"/>
    <mergeCell ref="B10:D10"/>
    <mergeCell ref="F10:I10"/>
    <mergeCell ref="B11:L11"/>
    <mergeCell ref="B12:D12"/>
    <mergeCell ref="K12:L12"/>
    <mergeCell ref="B13:D13"/>
    <mergeCell ref="K13:L13"/>
    <mergeCell ref="B14:L14"/>
    <mergeCell ref="B15:D15"/>
    <mergeCell ref="F15:I15"/>
    <mergeCell ref="B16:D16"/>
    <mergeCell ref="B17:L17"/>
    <mergeCell ref="B18:D18"/>
    <mergeCell ref="F18:I18"/>
    <mergeCell ref="B19:D19"/>
    <mergeCell ref="F19:I19"/>
    <mergeCell ref="B20:D20"/>
    <mergeCell ref="F20:I20"/>
    <mergeCell ref="B21:D21"/>
    <mergeCell ref="B22:D22"/>
    <mergeCell ref="K22:L22"/>
    <mergeCell ref="B25:Q25"/>
  </mergeCells>
  <conditionalFormatting sqref="K4:K10 L4 L6:L10 K12:L13 K15:L16 K18:L22">
    <cfRule type="cellIs" priority="2" operator="between" aboveAverage="0" equalAverage="0" bottom="0" percent="0" rank="0" text="" dxfId="0">
      <formula>0</formula>
      <formula>0.35</formula>
    </cfRule>
  </conditionalFormatting>
  <conditionalFormatting sqref="K4:K10 L4 L6:L10 K12:L13 K15:L16 K18:L22">
    <cfRule type="cellIs" priority="3" operator="between" aboveAverage="0" equalAverage="0" bottom="0" percent="0" rank="0" text="" dxfId="1">
      <formula>0.36</formula>
      <formula>0.6</formula>
    </cfRule>
  </conditionalFormatting>
  <conditionalFormatting sqref="K4:K10 L4 L6:L10 K12:L13 K15:L16 K18:L22">
    <cfRule type="cellIs" priority="4" operator="between" aboveAverage="0" equalAverage="0" bottom="0" percent="0" rank="0" text="" dxfId="2">
      <formula>0.6</formula>
      <formula>0.85</formula>
    </cfRule>
  </conditionalFormatting>
  <conditionalFormatting sqref="K4:K10 L4 L6:L10 K12:L13 K15:L16 K18:L22">
    <cfRule type="cellIs" priority="5" operator="between" aboveAverage="0" equalAverage="0" bottom="0" percent="0" rank="0" text="" dxfId="3">
      <formula>0.86</formula>
      <formula>0.99</formula>
    </cfRule>
  </conditionalFormatting>
  <conditionalFormatting sqref="K4:K10 L4 L6:L10 K12:L13 K15:L16 K18:L22">
    <cfRule type="cellIs" priority="6" operator="greaterThanOrEqual" aboveAverage="0" equalAverage="0" bottom="0" percent="0" rank="0" text="" dxfId="4">
      <formula>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LibreOffice/25.8.7.3$Linux_X86_64 LibreOffice_project/86b09991d16243f9209a07fafcdf2f8cdb0ad329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2026-05-17T08:21:20Z</dcterms:modified>
  <cp:revision>1</cp:revision>
  <dc:subject/>
  <dc:title/>
</cp:coreProperties>
</file>